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2" yWindow="0" windowWidth="2580" windowHeight="1752" tabRatio="913" firstSheet="5" activeTab="8"/>
  </bookViews>
  <sheets>
    <sheet name="VXXXX" sheetId="12" state="veryHidden" r:id="rId1"/>
    <sheet name="겉표지" sheetId="42" r:id="rId2"/>
    <sheet name="공지사항" sheetId="45" r:id="rId3"/>
    <sheet name="부과내역(부과총괄표)" sheetId="67" r:id="rId4"/>
    <sheet name="부과내역(수도 및 전기)" sheetId="74" r:id="rId5"/>
    <sheet name="부과내역(승강기전기료)" sheetId="47" r:id="rId6"/>
    <sheet name="부과내역서 (예금현황 관리외수입지출)" sheetId="48" r:id="rId7"/>
    <sheet name="부과내역서(수익기금4) (2)" sheetId="71" r:id="rId8"/>
    <sheet name="매월소장님 보고(인쇄안함)" sheetId="72" r:id="rId9"/>
    <sheet name="인쇄안함-체납세대변경" sheetId="73" r:id="rId10"/>
    <sheet name="대표회의보고용(인쇄안함)" sheetId="43" r:id="rId11"/>
  </sheets>
  <externalReferences>
    <externalReference r:id="rId12"/>
    <externalReference r:id="rId13"/>
  </externalReferences>
  <definedNames>
    <definedName name="_xlnm.Print_Area" localSheetId="1">겉표지!$A$1:$I$47</definedName>
    <definedName name="_xlnm.Print_Area" localSheetId="10">'대표회의보고용(인쇄안함)'!$A$1:$G$42</definedName>
    <definedName name="_xlnm.Print_Area" localSheetId="3">'부과내역(부과총괄표)'!$A$1:$N$276</definedName>
    <definedName name="_xlnm.Print_Area" localSheetId="4">'부과내역(수도 및 전기)'!$A$1:$AE$52</definedName>
    <definedName name="_xlnm.Print_Area" localSheetId="5">'부과내역(승강기전기료)'!$A$1:$G$51</definedName>
    <definedName name="_xlnm.Print_Area" localSheetId="6">'부과내역서 (예금현황 관리외수입지출)'!$A$1:$N$56</definedName>
    <definedName name="_xlnm.Print_Area" localSheetId="7">'부과내역서(수익기금4) (2)'!$A$1:$L$37</definedName>
  </definedNames>
  <calcPr calcId="124519"/>
</workbook>
</file>

<file path=xl/calcChain.xml><?xml version="1.0" encoding="utf-8"?>
<calcChain xmlns="http://schemas.openxmlformats.org/spreadsheetml/2006/main">
  <c r="E24" i="72"/>
  <c r="C12"/>
  <c r="C10"/>
  <c r="C9"/>
  <c r="C7"/>
  <c r="C6"/>
  <c r="E32" i="67"/>
  <c r="K32"/>
  <c r="N32"/>
  <c r="N33" s="1"/>
  <c r="E35" i="71"/>
  <c r="E34"/>
  <c r="S17" i="74"/>
  <c r="O17"/>
  <c r="K17"/>
  <c r="G17"/>
  <c r="S16"/>
  <c r="AM18" s="1"/>
  <c r="O16"/>
  <c r="K16"/>
  <c r="G16"/>
  <c r="AM16" s="1"/>
  <c r="E23" i="67"/>
  <c r="O39"/>
  <c r="E7"/>
  <c r="D58"/>
  <c r="H177"/>
  <c r="H172"/>
  <c r="D52"/>
  <c r="D51"/>
  <c r="D6" i="72"/>
  <c r="D13" s="1"/>
  <c r="D25" s="1"/>
  <c r="C50" i="47"/>
  <c r="M49"/>
  <c r="E49"/>
  <c r="M48"/>
  <c r="E48"/>
  <c r="M47"/>
  <c r="E47"/>
  <c r="M46"/>
  <c r="E46"/>
  <c r="M45"/>
  <c r="E45"/>
  <c r="M44"/>
  <c r="E44"/>
  <c r="M43"/>
  <c r="E43"/>
  <c r="M42"/>
  <c r="E42"/>
  <c r="M41"/>
  <c r="E41"/>
  <c r="M40"/>
  <c r="E40"/>
  <c r="M39"/>
  <c r="E39"/>
  <c r="M38"/>
  <c r="E38"/>
  <c r="M37"/>
  <c r="E37"/>
  <c r="M36"/>
  <c r="E36"/>
  <c r="M35"/>
  <c r="E35"/>
  <c r="M34"/>
  <c r="E34"/>
  <c r="M33"/>
  <c r="E33" s="1"/>
  <c r="M32"/>
  <c r="E32" s="1"/>
  <c r="M31"/>
  <c r="E31" s="1"/>
  <c r="M30"/>
  <c r="E30" s="1"/>
  <c r="M29"/>
  <c r="E29" s="1"/>
  <c r="M28"/>
  <c r="E28"/>
  <c r="M27"/>
  <c r="E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M14"/>
  <c r="E14"/>
  <c r="M13"/>
  <c r="E13"/>
  <c r="M12"/>
  <c r="E12"/>
  <c r="M11"/>
  <c r="E11"/>
  <c r="M10"/>
  <c r="E10"/>
  <c r="M9"/>
  <c r="E9"/>
  <c r="M8"/>
  <c r="E8"/>
  <c r="M7"/>
  <c r="E7"/>
  <c r="M6"/>
  <c r="E6"/>
  <c r="M5"/>
  <c r="E5"/>
  <c r="M4"/>
  <c r="M50" s="1"/>
  <c r="D50"/>
  <c r="Q52" i="74"/>
  <c r="AL45"/>
  <c r="AK45"/>
  <c r="AM44"/>
  <c r="AM43"/>
  <c r="AM42"/>
  <c r="AM45" s="1"/>
  <c r="AM41"/>
  <c r="AM49" s="1"/>
  <c r="AV37"/>
  <c r="AS37"/>
  <c r="AS35"/>
  <c r="AS34"/>
  <c r="AS36" s="1"/>
  <c r="AJ34"/>
  <c r="AS33"/>
  <c r="AV33" s="1"/>
  <c r="AJ33"/>
  <c r="AS31"/>
  <c r="AS30"/>
  <c r="AS32" s="1"/>
  <c r="AK30"/>
  <c r="AK29"/>
  <c r="AS28"/>
  <c r="AV28" s="1"/>
  <c r="AS27"/>
  <c r="AV27" s="1"/>
  <c r="AJ27"/>
  <c r="AS25"/>
  <c r="AL25"/>
  <c r="AS24"/>
  <c r="AJ24"/>
  <c r="AS23"/>
  <c r="AL23"/>
  <c r="M26"/>
  <c r="H26"/>
  <c r="AS22"/>
  <c r="AS26" s="1"/>
  <c r="AK21"/>
  <c r="AS19"/>
  <c r="AL19"/>
  <c r="AS18"/>
  <c r="AJ18"/>
  <c r="AS17"/>
  <c r="AJ17"/>
  <c r="AS16"/>
  <c r="AS21" s="1"/>
  <c r="AM17"/>
  <c r="AK12"/>
  <c r="AM11"/>
  <c r="AL11"/>
  <c r="AM10"/>
  <c r="AL10"/>
  <c r="U9"/>
  <c r="U10" s="1"/>
  <c r="AK6"/>
  <c r="Q10"/>
  <c r="J6"/>
  <c r="AB6" s="1"/>
  <c r="K34" i="71"/>
  <c r="F6" s="1"/>
  <c r="F5"/>
  <c r="F4"/>
  <c r="C13" i="72" l="1"/>
  <c r="C25" s="1"/>
  <c r="E4" i="47"/>
  <c r="F50" s="1"/>
  <c r="AV22" i="74"/>
  <c r="AL33"/>
  <c r="G41"/>
  <c r="Z41" s="1"/>
  <c r="G42" s="1"/>
  <c r="T42" s="1"/>
  <c r="G45" s="1"/>
  <c r="H32"/>
  <c r="AV30"/>
  <c r="AV34"/>
  <c r="AB9"/>
  <c r="Y2"/>
  <c r="AI2" s="1"/>
  <c r="AV16"/>
  <c r="AS38"/>
  <c r="AM9"/>
  <c r="AM12" s="1"/>
  <c r="AA16"/>
  <c r="AL9"/>
  <c r="AJ19"/>
  <c r="AA17" s="1"/>
  <c r="F7" i="71"/>
  <c r="W12" i="74" l="1"/>
  <c r="AV38"/>
  <c r="M37"/>
  <c r="M38" s="1"/>
  <c r="AL29" s="1"/>
  <c r="L49"/>
  <c r="V49" s="1"/>
  <c r="L48"/>
  <c r="V48" s="1"/>
  <c r="L47"/>
  <c r="V47" s="1"/>
  <c r="L46"/>
  <c r="V46" s="1"/>
  <c r="L51"/>
  <c r="V51" s="1"/>
  <c r="L50"/>
  <c r="V50" s="1"/>
  <c r="L45"/>
  <c r="V45" s="1"/>
  <c r="H37"/>
  <c r="H38" s="1"/>
  <c r="AL30" s="1"/>
  <c r="M49" i="48"/>
  <c r="I208" i="67"/>
  <c r="G23" i="73"/>
  <c r="V52" i="74" l="1"/>
  <c r="AA52" s="1"/>
  <c r="R38"/>
  <c r="AI37"/>
  <c r="AK36"/>
  <c r="M274" i="67"/>
  <c r="M275" s="1"/>
  <c r="M143"/>
  <c r="O35" i="48" l="1"/>
  <c r="E13" i="72"/>
  <c r="E22"/>
  <c r="D32" i="67"/>
  <c r="M37" i="48"/>
  <c r="O179" i="67" l="1"/>
  <c r="O180" s="1"/>
  <c r="O167"/>
  <c r="H32" l="1"/>
  <c r="H180" l="1"/>
  <c r="M160" s="1"/>
  <c r="E14" i="72"/>
  <c r="E15"/>
  <c r="E16"/>
  <c r="E17"/>
  <c r="E18"/>
  <c r="E19"/>
  <c r="E20"/>
  <c r="E21"/>
  <c r="E23"/>
  <c r="E12"/>
  <c r="E11"/>
  <c r="E7"/>
  <c r="E25" l="1"/>
  <c r="I42" i="48"/>
  <c r="I56"/>
  <c r="M54"/>
  <c r="D46" i="67"/>
  <c r="F46"/>
  <c r="E46"/>
  <c r="E10" i="72"/>
  <c r="E9"/>
  <c r="E8"/>
  <c r="E6"/>
  <c r="P180" i="67" l="1"/>
  <c r="M40" i="48" l="1"/>
  <c r="O40" i="67"/>
  <c r="O41"/>
  <c r="O42"/>
  <c r="O43"/>
  <c r="O44"/>
  <c r="O45"/>
  <c r="P45"/>
  <c r="M36" i="48"/>
  <c r="M48"/>
  <c r="M47"/>
  <c r="M53"/>
  <c r="F42" l="1"/>
  <c r="F56"/>
  <c r="M55"/>
  <c r="H21"/>
  <c r="D23" i="67"/>
  <c r="K31"/>
  <c r="K30"/>
  <c r="K29"/>
  <c r="K28"/>
  <c r="K26"/>
  <c r="K25"/>
  <c r="K24"/>
  <c r="M30" i="48" l="1"/>
  <c r="K245" i="67"/>
  <c r="D244"/>
  <c r="E197"/>
  <c r="A79"/>
  <c r="L164" l="1"/>
  <c r="L166" s="1"/>
  <c r="M248"/>
  <c r="E17" s="1"/>
  <c r="A183" l="1"/>
  <c r="F11" i="43" l="1"/>
  <c r="D37"/>
  <c r="D28"/>
  <c r="D38" l="1"/>
  <c r="F25" i="72"/>
  <c r="M41" i="48"/>
  <c r="M39"/>
  <c r="M38"/>
  <c r="M35"/>
  <c r="M34"/>
  <c r="M33"/>
  <c r="M32"/>
  <c r="M31"/>
  <c r="M29"/>
  <c r="M52"/>
  <c r="M51"/>
  <c r="M50"/>
  <c r="M45"/>
  <c r="H11"/>
  <c r="H23" s="1"/>
  <c r="P35" l="1"/>
  <c r="H17" i="67"/>
  <c r="E15"/>
  <c r="K23"/>
  <c r="G260"/>
  <c r="D262" s="1"/>
  <c r="M259"/>
  <c r="E18" s="1"/>
  <c r="H18" s="1"/>
  <c r="G249"/>
  <c r="D251" s="1"/>
  <c r="E251" s="1"/>
  <c r="H251" s="1"/>
  <c r="K244"/>
  <c r="H246"/>
  <c r="F246"/>
  <c r="G183"/>
  <c r="D185" s="1"/>
  <c r="E185" s="1"/>
  <c r="H23" l="1"/>
  <c r="K246"/>
  <c r="M240" s="1"/>
  <c r="E16" s="1"/>
  <c r="H16" s="1"/>
  <c r="D33"/>
  <c r="E189"/>
  <c r="H189" s="1"/>
  <c r="E190"/>
  <c r="H190" s="1"/>
  <c r="E188"/>
  <c r="H188" s="1"/>
  <c r="E186"/>
  <c r="H186" s="1"/>
  <c r="E191"/>
  <c r="H191" s="1"/>
  <c r="E187"/>
  <c r="H187" s="1"/>
  <c r="H185"/>
  <c r="E256"/>
  <c r="H256" s="1"/>
  <c r="E254"/>
  <c r="H254" s="1"/>
  <c r="E252"/>
  <c r="H252" s="1"/>
  <c r="E257"/>
  <c r="H257" s="1"/>
  <c r="E255"/>
  <c r="H255" s="1"/>
  <c r="E253"/>
  <c r="H253" s="1"/>
  <c r="E268"/>
  <c r="H268" s="1"/>
  <c r="E266"/>
  <c r="H266" s="1"/>
  <c r="E264"/>
  <c r="H264" s="1"/>
  <c r="E262"/>
  <c r="H262" s="1"/>
  <c r="E267"/>
  <c r="H267" s="1"/>
  <c r="E265"/>
  <c r="H265" s="1"/>
  <c r="E263"/>
  <c r="H263" s="1"/>
  <c r="N23"/>
  <c r="K16" l="1"/>
  <c r="H192"/>
  <c r="N192" s="1"/>
  <c r="H258"/>
  <c r="N258" s="1"/>
  <c r="H269"/>
  <c r="K12" l="1"/>
  <c r="K17"/>
  <c r="N17" s="1"/>
  <c r="K18"/>
  <c r="N18" s="1"/>
  <c r="N269"/>
  <c r="E12" l="1"/>
  <c r="L167"/>
  <c r="L165"/>
  <c r="M127"/>
  <c r="E10" s="1"/>
  <c r="C70"/>
  <c r="F58"/>
  <c r="E58"/>
  <c r="A60"/>
  <c r="O58" l="1"/>
  <c r="A61"/>
  <c r="G61" s="1"/>
  <c r="D68" s="1"/>
  <c r="E68" s="1"/>
  <c r="H12"/>
  <c r="N12"/>
  <c r="G60" l="1"/>
  <c r="M36"/>
  <c r="E69"/>
  <c r="H69" s="1"/>
  <c r="H68"/>
  <c r="E6" l="1"/>
  <c r="D63"/>
  <c r="E66" s="1"/>
  <c r="H66" s="1"/>
  <c r="C158"/>
  <c r="H6" l="1"/>
  <c r="E67"/>
  <c r="H67" s="1"/>
  <c r="E65"/>
  <c r="H65" s="1"/>
  <c r="E63"/>
  <c r="H63" s="1"/>
  <c r="E64"/>
  <c r="H64" s="1"/>
  <c r="A149"/>
  <c r="G149" s="1"/>
  <c r="D151" s="1"/>
  <c r="E151" s="1"/>
  <c r="H151" s="1"/>
  <c r="E11"/>
  <c r="E16" i="43" s="1"/>
  <c r="F16" s="1"/>
  <c r="E24"/>
  <c r="F24" s="1"/>
  <c r="E25"/>
  <c r="F25" s="1"/>
  <c r="E26"/>
  <c r="F26" s="1"/>
  <c r="E27"/>
  <c r="F27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H70" i="67" l="1"/>
  <c r="K6" s="1"/>
  <c r="N6" s="1"/>
  <c r="E156"/>
  <c r="H156" s="1"/>
  <c r="E152"/>
  <c r="H152" s="1"/>
  <c r="E155"/>
  <c r="H155" s="1"/>
  <c r="E154"/>
  <c r="H154" s="1"/>
  <c r="E157"/>
  <c r="H157" s="1"/>
  <c r="E153"/>
  <c r="H153" s="1"/>
  <c r="N70" l="1"/>
  <c r="H158"/>
  <c r="K11" s="1"/>
  <c r="N11" s="1"/>
  <c r="N158" l="1"/>
  <c r="E28" i="43"/>
  <c r="F28" s="1"/>
  <c r="C269" i="67" l="1"/>
  <c r="E23" i="43"/>
  <c r="F23" s="1"/>
  <c r="A229" i="67" l="1"/>
  <c r="E22" i="43" l="1"/>
  <c r="F22" s="1"/>
  <c r="E20"/>
  <c r="F20" s="1"/>
  <c r="D94" i="67"/>
  <c r="M91" s="1"/>
  <c r="O46" l="1"/>
  <c r="D75"/>
  <c r="M72" s="1"/>
  <c r="E12" i="43" l="1"/>
  <c r="F12" s="1"/>
  <c r="G98" i="67"/>
  <c r="D105" s="1"/>
  <c r="G97"/>
  <c r="D100" s="1"/>
  <c r="G79"/>
  <c r="D86" s="1"/>
  <c r="G78"/>
  <c r="D81" s="1"/>
  <c r="E104" l="1"/>
  <c r="H104" s="1"/>
  <c r="E102"/>
  <c r="H102" s="1"/>
  <c r="E100"/>
  <c r="H100" s="1"/>
  <c r="E103"/>
  <c r="H103" s="1"/>
  <c r="E101"/>
  <c r="H101" s="1"/>
  <c r="E106"/>
  <c r="E105"/>
  <c r="H105" s="1"/>
  <c r="E81"/>
  <c r="H81" s="1"/>
  <c r="E83"/>
  <c r="H83" s="1"/>
  <c r="E85"/>
  <c r="H85" s="1"/>
  <c r="E82"/>
  <c r="H82" s="1"/>
  <c r="E84"/>
  <c r="H84" s="1"/>
  <c r="E86"/>
  <c r="H86" s="1"/>
  <c r="E87"/>
  <c r="H87" s="1"/>
  <c r="H88" l="1"/>
  <c r="N88" l="1"/>
  <c r="K7"/>
  <c r="N7" s="1"/>
  <c r="M28" i="48"/>
  <c r="M27"/>
  <c r="M42" l="1"/>
  <c r="AD242" i="67"/>
  <c r="AC243"/>
  <c r="E203"/>
  <c r="H203" s="1"/>
  <c r="E202"/>
  <c r="H202" s="1"/>
  <c r="E201"/>
  <c r="H201" s="1"/>
  <c r="E200"/>
  <c r="H200" s="1"/>
  <c r="E199"/>
  <c r="H199" s="1"/>
  <c r="E198"/>
  <c r="H198" s="1"/>
  <c r="H197"/>
  <c r="E21" i="43" l="1"/>
  <c r="F21" s="1"/>
  <c r="H204" i="67"/>
  <c r="M194" s="1"/>
  <c r="K13" l="1"/>
  <c r="E13"/>
  <c r="E15" i="43"/>
  <c r="F15" s="1"/>
  <c r="M111" i="67"/>
  <c r="N13" l="1"/>
  <c r="E8"/>
  <c r="E9"/>
  <c r="E14" i="43" s="1"/>
  <c r="F14" s="1"/>
  <c r="E14" i="67"/>
  <c r="E19" i="43" s="1"/>
  <c r="F19" s="1"/>
  <c r="E17"/>
  <c r="F17" s="1"/>
  <c r="E33" i="67" l="1"/>
  <c r="O18"/>
  <c r="E13" i="43"/>
  <c r="F13" s="1"/>
  <c r="M46" i="48"/>
  <c r="M56" s="1"/>
  <c r="O56" s="1"/>
  <c r="H33" i="67" l="1"/>
  <c r="E38" i="43"/>
  <c r="F38" s="1"/>
  <c r="H8" i="67"/>
  <c r="H9"/>
  <c r="H10"/>
  <c r="H14"/>
  <c r="H15"/>
  <c r="AG70"/>
  <c r="C88"/>
  <c r="C107"/>
  <c r="C125"/>
  <c r="C142"/>
  <c r="C192"/>
  <c r="C204"/>
  <c r="C224"/>
  <c r="C238"/>
  <c r="C258"/>
  <c r="A133" l="1"/>
  <c r="G133" s="1"/>
  <c r="D135" s="1"/>
  <c r="A116"/>
  <c r="G116" s="1"/>
  <c r="D118" s="1"/>
  <c r="E119" s="1"/>
  <c r="H119" s="1"/>
  <c r="A215"/>
  <c r="G215" s="1"/>
  <c r="D217" s="1"/>
  <c r="E218" s="1"/>
  <c r="H218" s="1"/>
  <c r="H106"/>
  <c r="E136" l="1"/>
  <c r="H136" s="1"/>
  <c r="E141"/>
  <c r="H141" s="1"/>
  <c r="E139"/>
  <c r="E140"/>
  <c r="H140" s="1"/>
  <c r="E37" i="43"/>
  <c r="F37" s="1"/>
  <c r="E18"/>
  <c r="F18" s="1"/>
  <c r="H13" i="67"/>
  <c r="E223"/>
  <c r="H223" s="1"/>
  <c r="E219"/>
  <c r="H219" s="1"/>
  <c r="E221"/>
  <c r="H221" s="1"/>
  <c r="E217"/>
  <c r="H217" s="1"/>
  <c r="E124"/>
  <c r="H124" s="1"/>
  <c r="E120"/>
  <c r="H120" s="1"/>
  <c r="E122"/>
  <c r="H122" s="1"/>
  <c r="H139"/>
  <c r="E135"/>
  <c r="H135" s="1"/>
  <c r="E137"/>
  <c r="H137" s="1"/>
  <c r="E118"/>
  <c r="H118" s="1"/>
  <c r="E123"/>
  <c r="H123" s="1"/>
  <c r="E121"/>
  <c r="H121" s="1"/>
  <c r="E222"/>
  <c r="H222" s="1"/>
  <c r="E220"/>
  <c r="H220" s="1"/>
  <c r="E138"/>
  <c r="H138" s="1"/>
  <c r="H107"/>
  <c r="N107" l="1"/>
  <c r="K8"/>
  <c r="N8" s="1"/>
  <c r="I38" i="43"/>
  <c r="H142" i="67"/>
  <c r="K10" s="1"/>
  <c r="H224"/>
  <c r="H125"/>
  <c r="K9" s="1"/>
  <c r="N9" s="1"/>
  <c r="N224" l="1"/>
  <c r="K14"/>
  <c r="N14" s="1"/>
  <c r="N10"/>
  <c r="N142"/>
  <c r="N125"/>
  <c r="H7" l="1"/>
  <c r="AD72"/>
  <c r="G229" l="1"/>
  <c r="D231" s="1"/>
  <c r="E231" s="1"/>
  <c r="H231" s="1"/>
  <c r="E233" l="1"/>
  <c r="H233" s="1"/>
  <c r="E235"/>
  <c r="H235" s="1"/>
  <c r="E237"/>
  <c r="H237" s="1"/>
  <c r="E232"/>
  <c r="H232" s="1"/>
  <c r="E234"/>
  <c r="H234" s="1"/>
  <c r="E236"/>
  <c r="H236" s="1"/>
  <c r="H238" l="1"/>
  <c r="K15" s="1"/>
  <c r="N15" l="1"/>
  <c r="K33"/>
  <c r="N238"/>
</calcChain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자동입력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Q6" authorId="0">
      <text>
        <r>
          <rPr>
            <b/>
            <sz val="9"/>
            <color indexed="81"/>
            <rFont val="돋움"/>
            <family val="3"/>
            <charset val="129"/>
          </rPr>
          <t>감면전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금액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사용요금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구경별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요금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Q7" authorId="0">
      <text>
        <r>
          <rPr>
            <b/>
            <sz val="9"/>
            <color indexed="81"/>
            <rFont val="돋움"/>
            <family val="3"/>
            <charset val="129"/>
          </rPr>
          <t>고지서
하수도 사용요금</t>
        </r>
      </text>
    </comment>
    <comment ref="Q8" authorId="0">
      <text>
        <r>
          <rPr>
            <b/>
            <sz val="9"/>
            <color indexed="81"/>
            <rFont val="돋움"/>
            <family val="3"/>
            <charset val="129"/>
          </rPr>
          <t>물이용 부담금 입력</t>
        </r>
      </text>
    </comment>
    <comment ref="Q9" authorId="0">
      <text>
        <r>
          <rPr>
            <b/>
            <sz val="9"/>
            <color indexed="81"/>
            <rFont val="돋움"/>
            <family val="3"/>
            <charset val="129"/>
          </rPr>
          <t>감면금액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AS31" authorId="0">
      <text>
        <r>
          <rPr>
            <b/>
            <sz val="9"/>
            <color indexed="81"/>
            <rFont val="돋움"/>
            <family val="3"/>
            <charset val="129"/>
          </rPr>
          <t>도색공사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재계산요</t>
        </r>
      </text>
    </comment>
  </commentList>
</comments>
</file>

<file path=xl/comments3.xml><?xml version="1.0" encoding="utf-8"?>
<comments xmlns="http://schemas.openxmlformats.org/spreadsheetml/2006/main">
  <authors>
    <author>관리사무소</author>
  </authors>
  <commentList>
    <comment ref="G50" authorId="0">
      <text>
        <r>
          <rPr>
            <b/>
            <sz val="9"/>
            <color indexed="81"/>
            <rFont val="돋움"/>
            <family val="3"/>
            <charset val="129"/>
          </rPr>
          <t>관리사무소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더하기인지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빼기인지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확인할것
</t>
        </r>
      </text>
    </comment>
  </commentList>
</comments>
</file>

<file path=xl/sharedStrings.xml><?xml version="1.0" encoding="utf-8"?>
<sst xmlns="http://schemas.openxmlformats.org/spreadsheetml/2006/main" count="1182" uniqueCount="838">
  <si>
    <t xml:space="preserve"> </t>
    <phoneticPr fontId="4" type="noConversion"/>
  </si>
  <si>
    <t>금          액</t>
    <phoneticPr fontId="4" type="noConversion"/>
  </si>
  <si>
    <t>▶</t>
  </si>
  <si>
    <t>1. 관리비 납부 안내</t>
  </si>
  <si>
    <t>연체개월</t>
  </si>
  <si>
    <t>항            목</t>
    <phoneticPr fontId="4" type="noConversion"/>
  </si>
  <si>
    <t>1) 예금현황</t>
    <phoneticPr fontId="4" type="noConversion"/>
  </si>
  <si>
    <t>우 리 은 행</t>
    <phoneticPr fontId="4" type="noConversion"/>
  </si>
  <si>
    <t>신 한 은 행</t>
    <phoneticPr fontId="4" type="noConversion"/>
  </si>
  <si>
    <t>연체율%</t>
    <phoneticPr fontId="4" type="noConversion"/>
  </si>
  <si>
    <t xml:space="preserve"> ① 관리비 고지 : 전월 1일부터 말일까지 정산하여 마감일 일주일전에 관리비 고지서 배부하고 </t>
    <phoneticPr fontId="4" type="noConversion"/>
  </si>
  <si>
    <t xml:space="preserve">    조치를 취하게 됩니다.</t>
    <phoneticPr fontId="4" type="noConversion"/>
  </si>
  <si>
    <t>합                  계</t>
    <phoneticPr fontId="4" type="noConversion"/>
  </si>
  <si>
    <t>우   체   국</t>
    <phoneticPr fontId="4" type="noConversion"/>
  </si>
  <si>
    <t>1) 중앙지하차도 출입구 양쪽끝 </t>
  </si>
  <si>
    <t>3) 115동에서 117동으로 올라가는 진입로</t>
  </si>
  <si>
    <t>4)102동에서 104동으로 내려가는 진입로</t>
  </si>
  <si>
    <t>    -. 옥상문은 화재발생에 대비하여 개방되어 있으나 일부 아이들이 출입하여 안전상 매우 위험</t>
    <phoneticPr fontId="4" type="noConversion"/>
  </si>
  <si>
    <t>       하니 부모님께서는 아이들에게 옥상에 올라가면 안된다는 교육을 하여 주시기 바랍니다.</t>
    <phoneticPr fontId="4" type="noConversion"/>
  </si>
  <si>
    <t xml:space="preserve">      ❀ 관리비 연체시에는 관리규약에 정한 연체료를 부담하오니 납기내에 납부하시기 바랍니다.</t>
    <phoneticPr fontId="4" type="noConversion"/>
  </si>
  <si>
    <t xml:space="preserve">납 부 은 행  </t>
    <phoneticPr fontId="4" type="noConversion"/>
  </si>
  <si>
    <t>211001-04-037504</t>
    <phoneticPr fontId="4" type="noConversion"/>
  </si>
  <si>
    <t>215036-51-007590</t>
    <phoneticPr fontId="4" type="noConversion"/>
  </si>
  <si>
    <t>100-014-722831</t>
    <phoneticPr fontId="4" type="noConversion"/>
  </si>
  <si>
    <t>102400-01-000367</t>
    <phoneticPr fontId="4" type="noConversion"/>
  </si>
  <si>
    <t>1005-301-004035</t>
    <phoneticPr fontId="4" type="noConversion"/>
  </si>
  <si>
    <t>335-910003-99304</t>
    <phoneticPr fontId="4" type="noConversion"/>
  </si>
  <si>
    <t xml:space="preserve"> </t>
    <phoneticPr fontId="4" type="noConversion"/>
  </si>
  <si>
    <t xml:space="preserve">  3. 도시가스(031-946-7229, 7296)로 연락하여 정산하여야 합니다.</t>
    <phoneticPr fontId="4" type="noConversion"/>
  </si>
  <si>
    <t xml:space="preserve">  </t>
    <phoneticPr fontId="4" type="noConversion"/>
  </si>
  <si>
    <t xml:space="preserve">      받으시기 바랍니다.</t>
    <phoneticPr fontId="4" type="noConversion"/>
  </si>
  <si>
    <t>❀</t>
  </si>
  <si>
    <t>국민은행</t>
    <phoneticPr fontId="4" type="noConversion"/>
  </si>
  <si>
    <t>신한은행</t>
    <phoneticPr fontId="4" type="noConversion"/>
  </si>
  <si>
    <t>우체국</t>
    <phoneticPr fontId="4" type="noConversion"/>
  </si>
  <si>
    <t>우리은행</t>
    <phoneticPr fontId="4" type="noConversion"/>
  </si>
  <si>
    <t>하나은행</t>
    <phoneticPr fontId="4" type="noConversion"/>
  </si>
  <si>
    <t>은   행   명</t>
    <phoneticPr fontId="4" type="noConversion"/>
  </si>
  <si>
    <t>예     금     내     역</t>
    <phoneticPr fontId="4" type="noConversion"/>
  </si>
  <si>
    <t>하 나 은 행</t>
    <phoneticPr fontId="4" type="noConversion"/>
  </si>
  <si>
    <t>2) 관리외 수입 현황</t>
    <phoneticPr fontId="4" type="noConversion"/>
  </si>
  <si>
    <t>적              요</t>
    <phoneticPr fontId="4" type="noConversion"/>
  </si>
  <si>
    <t>전월이월</t>
    <phoneticPr fontId="4" type="noConversion"/>
  </si>
  <si>
    <t>당월수입</t>
    <phoneticPr fontId="4" type="noConversion"/>
  </si>
  <si>
    <t>누         계</t>
    <phoneticPr fontId="4" type="noConversion"/>
  </si>
  <si>
    <t>수  입   이  자</t>
    <phoneticPr fontId="4" type="noConversion"/>
  </si>
  <si>
    <t>임  대   수  입</t>
    <phoneticPr fontId="4" type="noConversion"/>
  </si>
  <si>
    <t>☏ 947-1491</t>
    <phoneticPr fontId="4" type="noConversion"/>
  </si>
  <si>
    <t>☏ 943-1825</t>
    <phoneticPr fontId="4" type="noConversion"/>
  </si>
  <si>
    <t>☏ 943-2005</t>
    <phoneticPr fontId="4" type="noConversion"/>
  </si>
  <si>
    <t>☏ 948-1111</t>
    <phoneticPr fontId="4" type="noConversion"/>
  </si>
  <si>
    <t>관리비 납부 안내</t>
    <phoneticPr fontId="4" type="noConversion"/>
  </si>
  <si>
    <t>운정지점</t>
    <phoneticPr fontId="4" type="noConversion"/>
  </si>
  <si>
    <t>교하지점</t>
    <phoneticPr fontId="4" type="noConversion"/>
  </si>
  <si>
    <t>파주연천축협</t>
    <phoneticPr fontId="4" type="noConversion"/>
  </si>
  <si>
    <t>수    익     기    금</t>
    <phoneticPr fontId="4" type="noConversion"/>
  </si>
  <si>
    <t>소                       계</t>
    <phoneticPr fontId="4" type="noConversion"/>
  </si>
  <si>
    <t>3) 관리외  지출 현황</t>
    <phoneticPr fontId="4" type="noConversion"/>
  </si>
  <si>
    <t>당월지출</t>
    <phoneticPr fontId="4" type="noConversion"/>
  </si>
  <si>
    <r>
      <t xml:space="preserve">      ❀ 무통장 입금,  계좌이체 시 송금란에 반드시  </t>
    </r>
    <r>
      <rPr>
        <u/>
        <sz val="10"/>
        <rFont val="굴림"/>
        <family val="3"/>
        <charset val="129"/>
      </rPr>
      <t>동.호수</t>
    </r>
    <r>
      <rPr>
        <sz val="10"/>
        <rFont val="굴림"/>
        <family val="3"/>
        <charset val="129"/>
      </rPr>
      <t>를 기입하시기 바랍니다.</t>
    </r>
    <phoneticPr fontId="4" type="noConversion"/>
  </si>
  <si>
    <t xml:space="preserve"> www.worldmerdian.kr</t>
    <phoneticPr fontId="4" type="noConversion"/>
  </si>
  <si>
    <t>단위농협</t>
    <phoneticPr fontId="4" type="noConversion"/>
  </si>
  <si>
    <t> ② 관리비 연체요금 : 공동주택관리규약 제9장 제70조에[별표7] 따른 연체 요율이 적용됩니다.</t>
    <phoneticPr fontId="4" type="noConversion"/>
  </si>
  <si>
    <r>
      <rPr>
        <sz val="11"/>
        <rFont val="돋움"/>
        <family val="3"/>
        <charset val="129"/>
      </rPr>
      <t>-.</t>
    </r>
    <phoneticPr fontId="4" type="noConversion"/>
  </si>
  <si>
    <t>    -. 세대 내부의 공사시 반드시 관리사무소에 신고(승강기 내 공사 안내문 부착, 주민동의,승강기 사용료 납부 등)</t>
    <phoneticPr fontId="4" type="noConversion"/>
  </si>
  <si>
    <t xml:space="preserve">       하여 공사업체로부터 적절한 절차에 의거 공사를 시행할 수 있도록 협조 바랍니다.</t>
    <phoneticPr fontId="4" type="noConversion"/>
  </si>
  <si>
    <r>
      <t xml:space="preserve">     -.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세대 민원을 신속하게 처리하고 입주민들의 불편을 해소해 드리는 방안으로 아래의 품목을 교체 및</t>
    </r>
    <phoneticPr fontId="4" type="noConversion"/>
  </si>
  <si>
    <t>합                     계</t>
    <phoneticPr fontId="4" type="noConversion"/>
  </si>
  <si>
    <t xml:space="preserve">      ❀ 전출.입시 주민 협조안내</t>
    <phoneticPr fontId="4" type="noConversion"/>
  </si>
  <si>
    <t xml:space="preserve">  1. 전출(이사)시에는 2-3일전에 관리실에 통보하여 중간관리비를 정산하여야 합니다.(자동이체해지)</t>
    <phoneticPr fontId="4" type="noConversion"/>
  </si>
  <si>
    <t xml:space="preserve">  4. 전입세대에서는 관리소에서 입주자카드를 작성하고 차량스티커(차량등록증 지참)를 교부</t>
    <phoneticPr fontId="4" type="noConversion"/>
  </si>
  <si>
    <t>☏ 948-6281</t>
    <phoneticPr fontId="4" type="noConversion"/>
  </si>
  <si>
    <t xml:space="preserve">                  납부 마감일은 매월 말일입니다.(마감일이 공휴일인 경우 다음날 납부마감)     </t>
    <phoneticPr fontId="4" type="noConversion"/>
  </si>
  <si>
    <r>
      <t xml:space="preserve">      ❀ </t>
    </r>
    <r>
      <rPr>
        <u/>
        <sz val="10"/>
        <rFont val="굴림"/>
        <family val="3"/>
        <charset val="129"/>
      </rPr>
      <t>관리비 자동이체는 각 은행방문후 신청</t>
    </r>
    <r>
      <rPr>
        <sz val="10"/>
        <rFont val="굴림"/>
        <family val="3"/>
        <charset val="129"/>
      </rPr>
      <t>하시기 바랍니다.(공지사항-관리비납부업무 참고)</t>
    </r>
    <phoneticPr fontId="4" type="noConversion"/>
  </si>
  <si>
    <t xml:space="preserve">                    (마감일이 공휴일인 경우 다음날 납부마감) </t>
    <phoneticPr fontId="4" type="noConversion"/>
  </si>
  <si>
    <t xml:space="preserve">  2. 승강기 사용시 사용료(80,000원)를 관리실에 납부하여야 합니다.</t>
    <phoneticPr fontId="4" type="noConversion"/>
  </si>
  <si>
    <t>    -. 외출시 콕크를 꼭 잠그고 가스렌지 철거 및 부착시는 도시가스(☎946-7229)에 연락바랍니다.</t>
    <phoneticPr fontId="4" type="noConversion"/>
  </si>
  <si>
    <r>
      <t xml:space="preserve">-2,3일전에 관리사무소로 연락하신 후 이사 당일 관리소로 방문 </t>
    </r>
    <r>
      <rPr>
        <b/>
        <u/>
        <sz val="11"/>
        <rFont val="굴림체"/>
        <family val="3"/>
        <charset val="129"/>
      </rPr>
      <t>중간관리비 정산서를 받으셔서</t>
    </r>
    <phoneticPr fontId="4" type="noConversion"/>
  </si>
  <si>
    <t>▶전출</t>
    <phoneticPr fontId="4" type="noConversion"/>
  </si>
  <si>
    <t>★</t>
    <phoneticPr fontId="4" type="noConversion"/>
  </si>
  <si>
    <t>▶</t>
    <phoneticPr fontId="4" type="noConversion"/>
  </si>
  <si>
    <t xml:space="preserve">8. 아이들 옥상 출입행위 엄중 단속 요망 </t>
    <phoneticPr fontId="4" type="noConversion"/>
  </si>
  <si>
    <t>7. 전열기 과열 및 화재 예방</t>
    <phoneticPr fontId="4" type="noConversion"/>
  </si>
  <si>
    <t>9. 윗층 소음 발생 감소노력 요망</t>
    <phoneticPr fontId="4" type="noConversion"/>
  </si>
  <si>
    <t>관리비 연체세대</t>
    <phoneticPr fontId="4" type="noConversion"/>
  </si>
  <si>
    <t>※ 상기사항 위반시 경고장(강력 스티커) 부착.</t>
    <phoneticPr fontId="4" type="noConversion"/>
  </si>
  <si>
    <t>◈  공 지 사 항  ◈</t>
    <phoneticPr fontId="4" type="noConversion"/>
  </si>
  <si>
    <t>장기수선충당예치금이자외</t>
    <phoneticPr fontId="4" type="noConversion"/>
  </si>
  <si>
    <t>부과차액</t>
    <phoneticPr fontId="4" type="noConversion"/>
  </si>
  <si>
    <t>공동전기료</t>
    <phoneticPr fontId="4" type="noConversion"/>
  </si>
  <si>
    <t>승강기전기료</t>
    <phoneticPr fontId="4" type="noConversion"/>
  </si>
  <si>
    <t>인터넷업체외</t>
    <phoneticPr fontId="4" type="noConversion"/>
  </si>
  <si>
    <t>부과차</t>
    <phoneticPr fontId="4" type="noConversion"/>
  </si>
  <si>
    <t>하수도</t>
    <phoneticPr fontId="4" type="noConversion"/>
  </si>
  <si>
    <t>상수도</t>
    <phoneticPr fontId="4" type="noConversion"/>
  </si>
  <si>
    <t>나. 면적별 부과내역</t>
    <phoneticPr fontId="4" type="noConversion"/>
  </si>
  <si>
    <t>"======================================================="</t>
  </si>
  <si>
    <t>급               여</t>
    <phoneticPr fontId="4" type="noConversion"/>
  </si>
  <si>
    <t>금      액</t>
    <phoneticPr fontId="4" type="noConversion"/>
  </si>
  <si>
    <t xml:space="preserve">1. 일 반 관 리 비 </t>
    <phoneticPr fontId="4" type="noConversion"/>
  </si>
  <si>
    <t>합                계</t>
    <phoneticPr fontId="4" type="noConversion"/>
  </si>
  <si>
    <t>소       계</t>
    <phoneticPr fontId="4" type="noConversion"/>
  </si>
  <si>
    <t>수도료감면</t>
    <phoneticPr fontId="4" type="noConversion"/>
  </si>
  <si>
    <t>물이용부담금</t>
    <phoneticPr fontId="4" type="noConversion"/>
  </si>
  <si>
    <t>당월부과액</t>
    <phoneticPr fontId="4" type="noConversion"/>
  </si>
  <si>
    <t>관 리 비 발 생 액</t>
    <phoneticPr fontId="4" type="noConversion"/>
  </si>
  <si>
    <t>구       분</t>
    <phoneticPr fontId="4" type="noConversion"/>
  </si>
  <si>
    <t>관 리 비 부 과 총 괄 표</t>
    <phoneticPr fontId="4" type="noConversion"/>
  </si>
  <si>
    <t>    -.</t>
  </si>
  <si>
    <t>층간소음 이웃사이센터 ☎ 1661-2642, 국가소음정보시스템 홈페이지 : www.noiseinfo.or.kr</t>
    <phoneticPr fontId="4" type="noConversion"/>
  </si>
  <si>
    <t>☏ 957-6240</t>
    <phoneticPr fontId="4" type="noConversion"/>
  </si>
  <si>
    <t>이엠피서비스(관제실)  TEL : 949-8112</t>
    <phoneticPr fontId="4" type="noConversion"/>
  </si>
  <si>
    <t>하    수    도</t>
    <phoneticPr fontId="4" type="noConversion"/>
  </si>
  <si>
    <t>인터넷업체외</t>
    <phoneticPr fontId="4" type="noConversion"/>
  </si>
  <si>
    <t>전기료카드할인</t>
    <phoneticPr fontId="4" type="noConversion"/>
  </si>
  <si>
    <t>중계기전기료</t>
    <phoneticPr fontId="4" type="noConversion"/>
  </si>
  <si>
    <t>T  V  수신료</t>
    <phoneticPr fontId="4" type="noConversion"/>
  </si>
  <si>
    <t>수익사업내역서 참조</t>
    <phoneticPr fontId="4" type="noConversion"/>
  </si>
  <si>
    <t>수익사업내역서참조</t>
    <phoneticPr fontId="4" type="noConversion"/>
  </si>
  <si>
    <t>4. 종량제쓰레기 음식물 배출안내(13. 9. 1시행-카드분실시 관리소로 접수)</t>
    <phoneticPr fontId="4" type="noConversion"/>
  </si>
  <si>
    <t>국 민 은 행</t>
    <phoneticPr fontId="4" type="noConversion"/>
  </si>
  <si>
    <t>-폐기물 배출시 관제실(관제실-관리동2층)에서 스티커 구입, 부착 후 배출.</t>
    <phoneticPr fontId="4" type="noConversion"/>
  </si>
  <si>
    <t>시         재       금</t>
    <phoneticPr fontId="4" type="noConversion"/>
  </si>
  <si>
    <t>장기수선충당금만기일</t>
    <phoneticPr fontId="4" type="noConversion"/>
  </si>
  <si>
    <t>2017.06.03</t>
    <phoneticPr fontId="4" type="noConversion"/>
  </si>
  <si>
    <t>장기수선충당예치금</t>
    <phoneticPr fontId="4" type="noConversion"/>
  </si>
  <si>
    <t>보 통 예 금</t>
    <phoneticPr fontId="4" type="noConversion"/>
  </si>
  <si>
    <t>135㎡초과</t>
    <phoneticPr fontId="4" type="noConversion"/>
  </si>
  <si>
    <t>부가세</t>
    <phoneticPr fontId="4" type="noConversion"/>
  </si>
  <si>
    <t>항목</t>
    <phoneticPr fontId="4" type="noConversion"/>
  </si>
  <si>
    <t>증감원인</t>
    <phoneticPr fontId="4" type="noConversion"/>
  </si>
  <si>
    <t>소계</t>
    <phoneticPr fontId="4" type="noConversion"/>
  </si>
  <si>
    <t>전기료</t>
    <phoneticPr fontId="4" type="noConversion"/>
  </si>
  <si>
    <t>경비용역비</t>
    <phoneticPr fontId="4" type="noConversion"/>
  </si>
  <si>
    <t>승강기유지비</t>
    <phoneticPr fontId="4" type="noConversion"/>
  </si>
  <si>
    <t>위탁관리수수료</t>
    <phoneticPr fontId="4" type="noConversion"/>
  </si>
  <si>
    <t>화재보험료</t>
    <phoneticPr fontId="4" type="noConversion"/>
  </si>
  <si>
    <t>수선유지비</t>
    <phoneticPr fontId="4" type="noConversion"/>
  </si>
  <si>
    <t>생활폐기물수수료</t>
    <phoneticPr fontId="4" type="noConversion"/>
  </si>
  <si>
    <t>대표회의운영비</t>
    <phoneticPr fontId="4" type="noConversion"/>
  </si>
  <si>
    <t>선거관리위원운영비</t>
    <phoneticPr fontId="4" type="noConversion"/>
  </si>
  <si>
    <t>세대사용료</t>
    <phoneticPr fontId="4" type="noConversion"/>
  </si>
  <si>
    <t>TV수신료</t>
    <phoneticPr fontId="4" type="noConversion"/>
  </si>
  <si>
    <t>동대표 회의 참석에 따라 변동</t>
    <phoneticPr fontId="4" type="noConversion"/>
  </si>
  <si>
    <t>사용량에 따라 변동</t>
    <phoneticPr fontId="4" type="noConversion"/>
  </si>
  <si>
    <t>=</t>
    <phoneticPr fontId="4" type="noConversion"/>
  </si>
  <si>
    <t>- 빼기 -는 -</t>
    <phoneticPr fontId="4" type="noConversion"/>
  </si>
  <si>
    <t>장기수선충당예치금-적금</t>
    <phoneticPr fontId="4" type="noConversion"/>
  </si>
  <si>
    <t>4대보험 자동이체할인(농협)</t>
    <phoneticPr fontId="4" type="noConversion"/>
  </si>
  <si>
    <t>검침수입(한전)</t>
    <phoneticPr fontId="4" type="noConversion"/>
  </si>
  <si>
    <t>검침대행비(한전)</t>
    <phoneticPr fontId="4" type="noConversion"/>
  </si>
  <si>
    <t>관리비 입금 외 다수</t>
    <phoneticPr fontId="4" type="noConversion"/>
  </si>
  <si>
    <t>검  침  수  입</t>
    <phoneticPr fontId="4" type="noConversion"/>
  </si>
  <si>
    <t>어린이집임대료</t>
    <phoneticPr fontId="4" type="noConversion"/>
  </si>
  <si>
    <t xml:space="preserve">  </t>
  </si>
  <si>
    <t>제출(안)자</t>
    <phoneticPr fontId="4" type="noConversion"/>
  </si>
  <si>
    <t>제출일자</t>
    <phoneticPr fontId="4" type="noConversion"/>
  </si>
  <si>
    <t>소장 박재원</t>
    <phoneticPr fontId="4" type="noConversion"/>
  </si>
  <si>
    <t>일반관리비</t>
    <phoneticPr fontId="4" type="noConversion"/>
  </si>
  <si>
    <t>청소용역비</t>
    <phoneticPr fontId="4" type="noConversion"/>
  </si>
  <si>
    <t>소독용역비</t>
    <phoneticPr fontId="4" type="noConversion"/>
  </si>
  <si>
    <t>장기수선충당금</t>
    <phoneticPr fontId="4" type="noConversion"/>
  </si>
  <si>
    <t>주민 사용량에 따라 변동</t>
    <phoneticPr fontId="4" type="noConversion"/>
  </si>
  <si>
    <t>수도료</t>
    <phoneticPr fontId="4" type="noConversion"/>
  </si>
  <si>
    <t>알뜰장</t>
    <phoneticPr fontId="4" type="noConversion"/>
  </si>
  <si>
    <r>
      <t xml:space="preserve">2) </t>
    </r>
    <r>
      <rPr>
        <b/>
        <sz val="12.5"/>
        <color rgb="FF000000"/>
        <rFont val="돋움"/>
        <family val="3"/>
        <charset val="129"/>
      </rPr>
      <t>제안이유</t>
    </r>
    <r>
      <rPr>
        <sz val="12.5"/>
        <color rgb="FF000000"/>
        <rFont val="새굴림"/>
        <family val="1"/>
        <charset val="129"/>
      </rPr>
      <t xml:space="preserve"> </t>
    </r>
  </si>
  <si>
    <t>전년대비
증감</t>
    <phoneticPr fontId="4" type="noConversion"/>
  </si>
  <si>
    <t>공용부분 수선및 교체에 따라 변동</t>
    <phoneticPr fontId="4" type="noConversion"/>
  </si>
  <si>
    <r>
      <rPr>
        <sz val="12.5"/>
        <color rgb="FF000000"/>
        <rFont val="새굴림"/>
        <family val="1"/>
        <charset val="129"/>
      </rPr>
      <t xml:space="preserve">     </t>
    </r>
    <r>
      <rPr>
        <sz val="12.5"/>
        <color rgb="FF000000"/>
        <rFont val="돋움"/>
        <family val="3"/>
        <charset val="129"/>
      </rPr>
      <t>관리규약 제</t>
    </r>
    <r>
      <rPr>
        <sz val="12.5"/>
        <color rgb="FF000000"/>
        <rFont val="새굴림"/>
        <family val="1"/>
        <charset val="129"/>
      </rPr>
      <t>27</t>
    </r>
    <r>
      <rPr>
        <sz val="12.5"/>
        <color rgb="FF000000"/>
        <rFont val="돋움"/>
        <family val="3"/>
        <charset val="129"/>
      </rPr>
      <t>조</t>
    </r>
    <r>
      <rPr>
        <sz val="12.5"/>
        <color rgb="FF000000"/>
        <rFont val="새굴림"/>
        <family val="1"/>
        <charset val="129"/>
      </rPr>
      <t>(</t>
    </r>
    <r>
      <rPr>
        <sz val="12.5"/>
        <color rgb="FF000000"/>
        <rFont val="돋움"/>
        <family val="3"/>
        <charset val="129"/>
      </rPr>
      <t>입주자대표회의의 의결사항</t>
    </r>
    <r>
      <rPr>
        <sz val="12.5"/>
        <color rgb="FF000000"/>
        <rFont val="새굴림"/>
        <family val="1"/>
        <charset val="129"/>
      </rPr>
      <t xml:space="preserve">), </t>
    </r>
    <r>
      <rPr>
        <sz val="12.5"/>
        <color rgb="FF000000"/>
        <rFont val="돋움"/>
        <family val="3"/>
        <charset val="129"/>
      </rPr>
      <t>규약 제</t>
    </r>
    <r>
      <rPr>
        <sz val="12.5"/>
        <color rgb="FF000000"/>
        <rFont val="새굴림"/>
        <family val="1"/>
        <charset val="129"/>
      </rPr>
      <t>61</t>
    </r>
    <r>
      <rPr>
        <sz val="12.5"/>
        <color rgb="FF000000"/>
        <rFont val="돋움"/>
        <family val="3"/>
        <charset val="129"/>
      </rPr>
      <t>조</t>
    </r>
    <r>
      <rPr>
        <sz val="12.5"/>
        <color rgb="FF000000"/>
        <rFont val="새굴림"/>
        <family val="1"/>
        <charset val="129"/>
      </rPr>
      <t>(</t>
    </r>
    <r>
      <rPr>
        <sz val="12.5"/>
        <color rgb="FF000000"/>
        <rFont val="돋움"/>
        <family val="3"/>
        <charset val="129"/>
      </rPr>
      <t xml:space="preserve">관리비 및 사용료의 집행)에 따라  </t>
    </r>
    <phoneticPr fontId="4" type="noConversion"/>
  </si>
  <si>
    <r>
      <rPr>
        <b/>
        <sz val="12.5"/>
        <color rgb="FF000000"/>
        <rFont val="돋움"/>
        <family val="3"/>
        <charset val="129"/>
      </rPr>
      <t>4</t>
    </r>
    <r>
      <rPr>
        <b/>
        <sz val="12.5"/>
        <color rgb="FF000000"/>
        <rFont val="새굴림"/>
        <family val="1"/>
        <charset val="129"/>
      </rPr>
      <t>) 비용추</t>
    </r>
    <r>
      <rPr>
        <b/>
        <sz val="12.5"/>
        <color rgb="FF000000"/>
        <rFont val="돋움"/>
        <family val="3"/>
        <charset val="129"/>
      </rPr>
      <t>계서</t>
    </r>
    <r>
      <rPr>
        <b/>
        <sz val="12.5"/>
        <color rgb="FF000000"/>
        <rFont val="새굴림"/>
        <family val="1"/>
        <charset val="129"/>
      </rPr>
      <t xml:space="preserve"> : </t>
    </r>
    <r>
      <rPr>
        <b/>
        <sz val="12.5"/>
        <color rgb="FF000000"/>
        <rFont val="돋움"/>
        <family val="3"/>
        <charset val="129"/>
      </rPr>
      <t>없음</t>
    </r>
    <phoneticPr fontId="4" type="noConversion"/>
  </si>
  <si>
    <r>
      <rPr>
        <b/>
        <sz val="12.5"/>
        <color rgb="FF000000"/>
        <rFont val="돋움"/>
        <family val="3"/>
        <charset val="129"/>
      </rPr>
      <t>5</t>
    </r>
    <r>
      <rPr>
        <b/>
        <sz val="12.5"/>
        <color rgb="FF000000"/>
        <rFont val="새굴림"/>
        <family val="1"/>
        <charset val="129"/>
      </rPr>
      <t xml:space="preserve">) 참고사항 : </t>
    </r>
    <r>
      <rPr>
        <sz val="12"/>
        <color rgb="FF000000"/>
        <rFont val="새굴림"/>
        <family val="1"/>
        <charset val="129"/>
      </rPr>
      <t>가. 근거규정 : 관리규약 제27조, 제61조(관리비및 사용료의 집행)</t>
    </r>
    <phoneticPr fontId="4" type="noConversion"/>
  </si>
  <si>
    <t>㎡</t>
  </si>
  <si>
    <t>③ 승강기 전기료(라인별 승강기 전기 사용량에 따라 부과)</t>
  </si>
  <si>
    <t>상    수    도</t>
    <phoneticPr fontId="4" type="noConversion"/>
  </si>
  <si>
    <t>보육시설
포함</t>
    <phoneticPr fontId="4" type="noConversion"/>
  </si>
  <si>
    <t>수도료감면</t>
    <phoneticPr fontId="4" type="noConversion"/>
  </si>
  <si>
    <t>공동전기료=
우리카드할인,중계기,
알뜰장 차감부과</t>
    <phoneticPr fontId="4" type="noConversion"/>
  </si>
  <si>
    <t>알   뜰    장</t>
    <phoneticPr fontId="4" type="noConversion"/>
  </si>
  <si>
    <t>과 목 별 부 과 내 역</t>
    <phoneticPr fontId="4" type="noConversion"/>
  </si>
  <si>
    <r>
      <t>"</t>
    </r>
    <r>
      <rPr>
        <sz val="11"/>
        <rFont val="맑은 고딕"/>
        <family val="3"/>
        <charset val="129"/>
        <scheme val="minor"/>
      </rPr>
      <t>=======================================================</t>
    </r>
    <r>
      <rPr>
        <sz val="11"/>
        <color indexed="9"/>
        <rFont val="맑은 고딕"/>
        <family val="3"/>
        <charset val="129"/>
        <scheme val="minor"/>
      </rPr>
      <t>"</t>
    </r>
    <phoneticPr fontId="4" type="noConversion"/>
  </si>
  <si>
    <t>항       목</t>
    <phoneticPr fontId="4" type="noConversion"/>
  </si>
  <si>
    <t>산      출      내      역</t>
    <phoneticPr fontId="4" type="noConversion"/>
  </si>
  <si>
    <t>인건비</t>
    <phoneticPr fontId="4" type="noConversion"/>
  </si>
  <si>
    <t>제      수      당</t>
    <phoneticPr fontId="4" type="noConversion"/>
  </si>
  <si>
    <t>퇴직충당적립금</t>
    <phoneticPr fontId="4" type="noConversion"/>
  </si>
  <si>
    <t>국    민   연    금</t>
    <phoneticPr fontId="4" type="noConversion"/>
  </si>
  <si>
    <t>건강보험료</t>
    <phoneticPr fontId="4" type="noConversion"/>
  </si>
  <si>
    <t>2.54%에서 2.665%로 인상</t>
    <phoneticPr fontId="4" type="noConversion"/>
  </si>
  <si>
    <t>건   강    보    험</t>
    <phoneticPr fontId="4" type="noConversion"/>
  </si>
  <si>
    <t>요양보험료</t>
    <phoneticPr fontId="4" type="noConversion"/>
  </si>
  <si>
    <t>4.78%에서 6.55%로 인상</t>
    <phoneticPr fontId="4" type="noConversion"/>
  </si>
  <si>
    <t xml:space="preserve">산 재 . 고 용 </t>
    <phoneticPr fontId="4" type="noConversion"/>
  </si>
  <si>
    <t>계</t>
    <phoneticPr fontId="4" type="noConversion"/>
  </si>
  <si>
    <t>여 비 교 통 비</t>
    <phoneticPr fontId="4" type="noConversion"/>
  </si>
  <si>
    <t>▶ 자재구입 및 은행, 우체국 업무 외</t>
    <phoneticPr fontId="4" type="noConversion"/>
  </si>
  <si>
    <t>통     신     비</t>
    <phoneticPr fontId="4" type="noConversion"/>
  </si>
  <si>
    <t>우     편     료</t>
    <phoneticPr fontId="4" type="noConversion"/>
  </si>
  <si>
    <t>도 서 인 쇄 비</t>
    <phoneticPr fontId="4" type="noConversion"/>
  </si>
  <si>
    <t>사무용품비,관리용품소모품비</t>
    <phoneticPr fontId="4" type="noConversion"/>
  </si>
  <si>
    <t>제 세 공 과 금</t>
    <phoneticPr fontId="4" type="noConversion"/>
  </si>
  <si>
    <t>잡              비</t>
    <phoneticPr fontId="4" type="noConversion"/>
  </si>
  <si>
    <t>감 가 상 각 비</t>
    <phoneticPr fontId="4" type="noConversion"/>
  </si>
  <si>
    <t>합             계</t>
    <phoneticPr fontId="4" type="noConversion"/>
  </si>
  <si>
    <t>나. 면적별 부과액:</t>
    <phoneticPr fontId="4" type="noConversion"/>
  </si>
  <si>
    <t>(135㎡이하)</t>
    <phoneticPr fontId="4" type="noConversion"/>
  </si>
  <si>
    <t>＝</t>
    <phoneticPr fontId="4" type="noConversion"/>
  </si>
  <si>
    <t>(135㎡초과)</t>
    <phoneticPr fontId="4" type="noConversion"/>
  </si>
  <si>
    <t>=</t>
    <phoneticPr fontId="4" type="noConversion"/>
  </si>
  <si>
    <t>㎡</t>
    <phoneticPr fontId="4" type="noConversion"/>
  </si>
  <si>
    <t>세대수</t>
    <phoneticPr fontId="4" type="noConversion"/>
  </si>
  <si>
    <t>단가(㎡)</t>
    <phoneticPr fontId="4" type="noConversion"/>
  </si>
  <si>
    <t>세대당부과액</t>
    <phoneticPr fontId="4" type="noConversion"/>
  </si>
  <si>
    <t>총부과금액</t>
    <phoneticPr fontId="4" type="noConversion"/>
  </si>
  <si>
    <t>비  고</t>
    <phoneticPr fontId="4" type="noConversion"/>
  </si>
  <si>
    <t>계</t>
    <phoneticPr fontId="4" type="noConversion"/>
  </si>
  <si>
    <t>부과차</t>
    <phoneticPr fontId="4" type="noConversion"/>
  </si>
  <si>
    <t xml:space="preserve">2. 경     비     비 </t>
    <phoneticPr fontId="4" type="noConversion"/>
  </si>
  <si>
    <r>
      <t>"</t>
    </r>
    <r>
      <rPr>
        <sz val="11"/>
        <rFont val="맑은 고딕"/>
        <family val="3"/>
        <charset val="129"/>
        <scheme val="minor"/>
      </rPr>
      <t>=======================================================</t>
    </r>
    <r>
      <rPr>
        <sz val="11"/>
        <color indexed="9"/>
        <rFont val="맑은 고딕"/>
        <family val="3"/>
        <charset val="129"/>
        <scheme val="minor"/>
      </rPr>
      <t>"</t>
    </r>
    <phoneticPr fontId="4" type="noConversion"/>
  </si>
  <si>
    <t>소장님 지시사항</t>
    <phoneticPr fontId="4" type="noConversion"/>
  </si>
  <si>
    <t>미설치세대분</t>
    <phoneticPr fontId="4" type="noConversion"/>
  </si>
  <si>
    <t xml:space="preserve"> 가. 산출내역</t>
    <phoneticPr fontId="4" type="noConversion"/>
  </si>
  <si>
    <t>6-102 4월~7월 4개월건 미부과(방범문제로 인하여)</t>
    <phoneticPr fontId="4" type="noConversion"/>
  </si>
  <si>
    <t>실 부과액</t>
    <phoneticPr fontId="4" type="noConversion"/>
  </si>
  <si>
    <t>구              분</t>
    <phoneticPr fontId="4" type="noConversion"/>
  </si>
  <si>
    <t>금          액</t>
    <phoneticPr fontId="4" type="noConversion"/>
  </si>
  <si>
    <t>비      고</t>
    <phoneticPr fontId="4" type="noConversion"/>
  </si>
  <si>
    <t>경비 관리 용역비</t>
    <phoneticPr fontId="4" type="noConversion"/>
  </si>
  <si>
    <t>나. 면적별 부과내역</t>
    <phoneticPr fontId="4" type="noConversion"/>
  </si>
  <si>
    <t>(135㎡이하)</t>
    <phoneticPr fontId="4" type="noConversion"/>
  </si>
  <si>
    <t>＝</t>
    <phoneticPr fontId="4" type="noConversion"/>
  </si>
  <si>
    <t>(135㎡초과)</t>
    <phoneticPr fontId="4" type="noConversion"/>
  </si>
  <si>
    <t>=</t>
    <phoneticPr fontId="4" type="noConversion"/>
  </si>
  <si>
    <t>㎡</t>
    <phoneticPr fontId="4" type="noConversion"/>
  </si>
  <si>
    <t>세대수</t>
    <phoneticPr fontId="4" type="noConversion"/>
  </si>
  <si>
    <t>단가(㎡)</t>
    <phoneticPr fontId="4" type="noConversion"/>
  </si>
  <si>
    <t>세대당부과액</t>
    <phoneticPr fontId="4" type="noConversion"/>
  </si>
  <si>
    <t>총부과금액</t>
    <phoneticPr fontId="4" type="noConversion"/>
  </si>
  <si>
    <t>비  고</t>
    <phoneticPr fontId="4" type="noConversion"/>
  </si>
  <si>
    <t>부과차</t>
    <phoneticPr fontId="4" type="noConversion"/>
  </si>
  <si>
    <t>3. 청 소  용  역  비</t>
    <phoneticPr fontId="4" type="noConversion"/>
  </si>
  <si>
    <r>
      <t>"</t>
    </r>
    <r>
      <rPr>
        <sz val="11"/>
        <rFont val="맑은 고딕"/>
        <family val="3"/>
        <charset val="129"/>
        <scheme val="minor"/>
      </rPr>
      <t>=======================================================</t>
    </r>
    <r>
      <rPr>
        <sz val="11"/>
        <color indexed="9"/>
        <rFont val="맑은 고딕"/>
        <family val="3"/>
        <charset val="129"/>
        <scheme val="minor"/>
      </rPr>
      <t>"</t>
    </r>
    <phoneticPr fontId="4" type="noConversion"/>
  </si>
  <si>
    <t xml:space="preserve"> 가. 산출내역</t>
    <phoneticPr fontId="4" type="noConversion"/>
  </si>
  <si>
    <t>구              분</t>
    <phoneticPr fontId="4" type="noConversion"/>
  </si>
  <si>
    <t>금          액</t>
    <phoneticPr fontId="4" type="noConversion"/>
  </si>
  <si>
    <t>비      고</t>
    <phoneticPr fontId="4" type="noConversion"/>
  </si>
  <si>
    <t>청소 관리 용역비</t>
    <phoneticPr fontId="4" type="noConversion"/>
  </si>
  <si>
    <t>4. 실 내 외 소 독 비</t>
    <phoneticPr fontId="4" type="noConversion"/>
  </si>
  <si>
    <t>비                   고</t>
    <phoneticPr fontId="4" type="noConversion"/>
  </si>
  <si>
    <t>소 독 용 역 비</t>
    <phoneticPr fontId="4" type="noConversion"/>
  </si>
  <si>
    <t xml:space="preserve"> 나. 면적별 부과내역</t>
    <phoneticPr fontId="4" type="noConversion"/>
  </si>
  <si>
    <t>(관리면적)</t>
    <phoneticPr fontId="4" type="noConversion"/>
  </si>
  <si>
    <t>5. 승 강 기 유 지 비</t>
    <phoneticPr fontId="4" type="noConversion"/>
  </si>
  <si>
    <t>승강기 관리 용역비</t>
    <phoneticPr fontId="4" type="noConversion"/>
  </si>
  <si>
    <t xml:space="preserve">  (주)쉰들러엘리베이터(14. 9. 1 ~ 17. 8.31)</t>
    <phoneticPr fontId="4" type="noConversion"/>
  </si>
  <si>
    <t>구    분</t>
    <phoneticPr fontId="4" type="noConversion"/>
  </si>
  <si>
    <t>항            목</t>
    <phoneticPr fontId="4" type="noConversion"/>
  </si>
  <si>
    <t>월 부과액(원)</t>
    <phoneticPr fontId="4" type="noConversion"/>
  </si>
  <si>
    <t>비     고</t>
    <phoneticPr fontId="4" type="noConversion"/>
  </si>
  <si>
    <t>시설유지비</t>
    <phoneticPr fontId="4" type="noConversion"/>
  </si>
  <si>
    <t>합      계     금     액</t>
    <phoneticPr fontId="4" type="noConversion"/>
  </si>
  <si>
    <t xml:space="preserve"> </t>
    <phoneticPr fontId="4" type="noConversion"/>
  </si>
  <si>
    <t>나. 면적별 부과내역</t>
    <phoneticPr fontId="4" type="noConversion"/>
  </si>
  <si>
    <t>(관리면적)</t>
    <phoneticPr fontId="4" type="noConversion"/>
  </si>
  <si>
    <t xml:space="preserve"> 가. 산  출  내  역   :</t>
    <phoneticPr fontId="4" type="noConversion"/>
  </si>
  <si>
    <t>구    분</t>
    <phoneticPr fontId="4" type="noConversion"/>
  </si>
  <si>
    <t>금     액</t>
    <phoneticPr fontId="4" type="noConversion"/>
  </si>
  <si>
    <t>비    고</t>
    <phoneticPr fontId="4" type="noConversion"/>
  </si>
  <si>
    <t>위탁관리비</t>
    <phoneticPr fontId="4" type="noConversion"/>
  </si>
  <si>
    <t>대원종합관리㈜(15. 1. 1 ~ 17.12.31)</t>
    <phoneticPr fontId="4" type="noConversion"/>
  </si>
  <si>
    <t xml:space="preserve"> 나. 면적별 부과내역</t>
    <phoneticPr fontId="4" type="noConversion"/>
  </si>
  <si>
    <t xml:space="preserve"> 가) 주택화재 및 시설배상책임, 승강기배상책임, 놀이터배상책임, 전문인배상책임보험 가입</t>
    <phoneticPr fontId="4" type="noConversion"/>
  </si>
  <si>
    <t>전월지침</t>
    <phoneticPr fontId="4" type="noConversion"/>
  </si>
  <si>
    <t>금월지침</t>
    <phoneticPr fontId="4" type="noConversion"/>
  </si>
  <si>
    <t>총사용량</t>
    <phoneticPr fontId="4" type="noConversion"/>
  </si>
  <si>
    <t>구분</t>
    <phoneticPr fontId="4" type="noConversion"/>
  </si>
  <si>
    <t>사용량</t>
    <phoneticPr fontId="4" type="noConversion"/>
  </si>
  <si>
    <t>고지금액</t>
    <phoneticPr fontId="4" type="noConversion"/>
  </si>
  <si>
    <t>부과금액</t>
    <phoneticPr fontId="4" type="noConversion"/>
  </si>
  <si>
    <t>공용사용량</t>
    <phoneticPr fontId="4" type="noConversion"/>
  </si>
  <si>
    <t>세대분</t>
    <phoneticPr fontId="4" type="noConversion"/>
  </si>
  <si>
    <t>수도감면액</t>
    <phoneticPr fontId="4" type="noConversion"/>
  </si>
  <si>
    <t>세        대</t>
    <phoneticPr fontId="4" type="noConversion"/>
  </si>
  <si>
    <t>보육.노인정</t>
    <phoneticPr fontId="4" type="noConversion"/>
  </si>
  <si>
    <t>합  계</t>
    <phoneticPr fontId="4" type="noConversion"/>
  </si>
  <si>
    <t>동 호 수</t>
    <phoneticPr fontId="4" type="noConversion"/>
  </si>
  <si>
    <t>NO</t>
    <phoneticPr fontId="4" type="noConversion"/>
  </si>
  <si>
    <t>총계</t>
    <phoneticPr fontId="4" type="noConversion"/>
  </si>
  <si>
    <t>계</t>
    <phoneticPr fontId="4" type="noConversion"/>
  </si>
  <si>
    <t>부과차</t>
    <phoneticPr fontId="4" type="noConversion"/>
  </si>
  <si>
    <t>월드어린이집 보증금</t>
    <phoneticPr fontId="4" type="noConversion"/>
  </si>
  <si>
    <t>복리후생비</t>
    <phoneticPr fontId="4" type="noConversion"/>
  </si>
  <si>
    <t>15년6월 용역업체 계약금 변동</t>
    <phoneticPr fontId="4" type="noConversion"/>
  </si>
  <si>
    <t>15년 5월 화재보험 변동</t>
    <phoneticPr fontId="4" type="noConversion"/>
  </si>
  <si>
    <t>TEL : (031)946-7195, FAX : 946-7197</t>
    <phoneticPr fontId="4" type="noConversion"/>
  </si>
  <si>
    <t>증 감</t>
    <phoneticPr fontId="4" type="noConversion"/>
  </si>
  <si>
    <t>11월분때 세대당부과액 꼭 확인</t>
    <phoneticPr fontId="4" type="noConversion"/>
  </si>
  <si>
    <t>연 체 료 수 입</t>
    <phoneticPr fontId="4" type="noConversion"/>
  </si>
  <si>
    <t>잡     수     입</t>
    <phoneticPr fontId="4" type="noConversion"/>
  </si>
  <si>
    <r>
      <t>농협</t>
    </r>
    <r>
      <rPr>
        <sz val="8"/>
        <rFont val="굴림"/>
        <family val="3"/>
        <charset val="129"/>
      </rPr>
      <t>(파주연천축협)</t>
    </r>
    <phoneticPr fontId="4" type="noConversion"/>
  </si>
  <si>
    <t xml:space="preserve"> 1.일반관리비</t>
    <phoneticPr fontId="4" type="noConversion"/>
  </si>
  <si>
    <t xml:space="preserve"> 2.경비비</t>
    <phoneticPr fontId="4" type="noConversion"/>
  </si>
  <si>
    <t xml:space="preserve"> 3.청소비</t>
    <phoneticPr fontId="4" type="noConversion"/>
  </si>
  <si>
    <t xml:space="preserve"> 4.소독용역비</t>
    <phoneticPr fontId="4" type="noConversion"/>
  </si>
  <si>
    <t xml:space="preserve"> 5.승강기유지비</t>
    <phoneticPr fontId="4" type="noConversion"/>
  </si>
  <si>
    <t xml:space="preserve"> 6.소방시설점검비</t>
    <phoneticPr fontId="4" type="noConversion"/>
  </si>
  <si>
    <t xml:space="preserve"> 7.수선유지비</t>
    <phoneticPr fontId="4" type="noConversion"/>
  </si>
  <si>
    <t xml:space="preserve"> 8.장기수선충당금</t>
    <phoneticPr fontId="4" type="noConversion"/>
  </si>
  <si>
    <t xml:space="preserve"> 9.위탁관리수수료</t>
    <phoneticPr fontId="4" type="noConversion"/>
  </si>
  <si>
    <t>10.화재보험료</t>
    <phoneticPr fontId="4" type="noConversion"/>
  </si>
  <si>
    <t>11.생활폐기물수수료</t>
    <phoneticPr fontId="4" type="noConversion"/>
  </si>
  <si>
    <t>12.대표회의운영비</t>
    <phoneticPr fontId="4" type="noConversion"/>
  </si>
  <si>
    <t>13.선거관리운영비</t>
    <phoneticPr fontId="4" type="noConversion"/>
  </si>
  <si>
    <t>14. 수도료</t>
    <phoneticPr fontId="4" type="noConversion"/>
  </si>
  <si>
    <t>15. 전기료</t>
    <phoneticPr fontId="4" type="noConversion"/>
  </si>
  <si>
    <t>6. 소방시설점검비</t>
    <phoneticPr fontId="4" type="noConversion"/>
  </si>
  <si>
    <t>소방시설점검비</t>
    <phoneticPr fontId="4" type="noConversion"/>
  </si>
  <si>
    <t xml:space="preserve">  대성방재(주)(15. 10. 1 ~ 16. 9. 30.)</t>
    <phoneticPr fontId="4" type="noConversion"/>
  </si>
  <si>
    <t>7. 수  선  유  지  비</t>
    <phoneticPr fontId="4" type="noConversion"/>
  </si>
  <si>
    <t>8. 장기수선충당금</t>
    <phoneticPr fontId="4" type="noConversion"/>
  </si>
  <si>
    <t>9. 위 탁 관 리 비</t>
    <phoneticPr fontId="4" type="noConversion"/>
  </si>
  <si>
    <t>10. 화  재  보 험 료</t>
    <phoneticPr fontId="4" type="noConversion"/>
  </si>
  <si>
    <t>11. 생활폐기물수수료(음식물배출 수수료)</t>
    <phoneticPr fontId="4" type="noConversion"/>
  </si>
  <si>
    <t>12. 대표회의 운영비(제10기)</t>
    <phoneticPr fontId="4" type="noConversion"/>
  </si>
  <si>
    <t xml:space="preserve"> 가. 산출내역-15년 9월 1일부터 세대 배출용량으로 부과(Kg당 단가111.9원-파주시 고지금액 부과)</t>
    <phoneticPr fontId="4" type="noConversion"/>
  </si>
  <si>
    <t>소방시설점검비</t>
    <phoneticPr fontId="4" type="noConversion"/>
  </si>
  <si>
    <t>15년10월 점검비 신설</t>
    <phoneticPr fontId="4" type="noConversion"/>
  </si>
  <si>
    <t>선거관리위원회의 참석에 따라변동</t>
    <phoneticPr fontId="4" type="noConversion"/>
  </si>
  <si>
    <t>해솔마을2단지 월드메르디앙아파트 관리사무소</t>
    <phoneticPr fontId="4" type="noConversion"/>
  </si>
  <si>
    <t xml:space="preserve">▶ 등기발송, 장기체납세대 내용증명등 </t>
    <phoneticPr fontId="4" type="noConversion"/>
  </si>
  <si>
    <t>계</t>
    <phoneticPr fontId="4" type="noConversion"/>
  </si>
  <si>
    <t>부과차</t>
    <phoneticPr fontId="4" type="noConversion"/>
  </si>
  <si>
    <t>음식물처리수수료
(비용*5%-환경시설과)</t>
    <phoneticPr fontId="4" type="noConversion"/>
  </si>
  <si>
    <t>식대등복리후생비</t>
    <phoneticPr fontId="4" type="noConversion"/>
  </si>
  <si>
    <t>날짜</t>
    <phoneticPr fontId="4" type="noConversion"/>
  </si>
  <si>
    <t>적요</t>
    <phoneticPr fontId="4" type="noConversion"/>
  </si>
  <si>
    <t>지출액</t>
    <phoneticPr fontId="4" type="noConversion"/>
  </si>
  <si>
    <t>5.18/6.10</t>
    <phoneticPr fontId="4" type="noConversion"/>
  </si>
  <si>
    <t>10.23/11.05</t>
    <phoneticPr fontId="4" type="noConversion"/>
  </si>
  <si>
    <t>에어로빅장 엠프구입</t>
    <phoneticPr fontId="4" type="noConversion"/>
  </si>
  <si>
    <t>로비폰 발판구입</t>
    <phoneticPr fontId="4" type="noConversion"/>
  </si>
  <si>
    <t>E/V 보양자재구입</t>
    <phoneticPr fontId="4" type="noConversion"/>
  </si>
  <si>
    <t>통학로 설치공사비</t>
    <phoneticPr fontId="4" type="noConversion"/>
  </si>
  <si>
    <t>보도블럭 공사비</t>
    <phoneticPr fontId="4" type="noConversion"/>
  </si>
  <si>
    <t>변압기오일및세척유교체</t>
    <phoneticPr fontId="4" type="noConversion"/>
  </si>
  <si>
    <t>계단실 캐노피공사계약금</t>
    <phoneticPr fontId="4" type="noConversion"/>
  </si>
  <si>
    <t>의결</t>
    <phoneticPr fontId="4" type="noConversion"/>
  </si>
  <si>
    <t>14.11.18</t>
    <phoneticPr fontId="4" type="noConversion"/>
  </si>
  <si>
    <t>15.11.18</t>
    <phoneticPr fontId="4" type="noConversion"/>
  </si>
  <si>
    <t>15.01.20</t>
    <phoneticPr fontId="4" type="noConversion"/>
  </si>
  <si>
    <t>15.03.18</t>
    <phoneticPr fontId="4" type="noConversion"/>
  </si>
  <si>
    <t>15.08.19</t>
    <phoneticPr fontId="4" type="noConversion"/>
  </si>
  <si>
    <t>15.10.07</t>
    <phoneticPr fontId="4" type="noConversion"/>
  </si>
  <si>
    <t>체납개월수</t>
    <phoneticPr fontId="4" type="noConversion"/>
  </si>
  <si>
    <t>급여인상,135㎡이상부가세등</t>
    <phoneticPr fontId="4" type="noConversion"/>
  </si>
  <si>
    <t>(도로명주소:경기도 파주시 와석순환로 347번지(목동동2-117) 우:10893)</t>
    <phoneticPr fontId="4" type="noConversion"/>
  </si>
  <si>
    <t>1. 통학로설치공사총비용:21,000,000-14.11 착수금420만원,14.12 중도금 840만원
2. 16년도 캐노피공사 잔금 75,240,000지급예정임</t>
    <phoneticPr fontId="4" type="noConversion"/>
  </si>
  <si>
    <t xml:space="preserve">▶ 주민 부담분(급여*3.06%)+장기요양보험료(건강보험료*6.55%) </t>
    <phoneticPr fontId="4" type="noConversion"/>
  </si>
  <si>
    <t>▶ 직원급여(관리소장 외 8명)</t>
    <phoneticPr fontId="4" type="noConversion"/>
  </si>
  <si>
    <t>▶( 평균임금+연차)*3/92*30/12</t>
    <phoneticPr fontId="4" type="noConversion"/>
  </si>
  <si>
    <t>▶ 주민 부담분(급여*4.5%)</t>
    <phoneticPr fontId="4" type="noConversion"/>
  </si>
  <si>
    <t>▶ 산재·고용보험료</t>
    <phoneticPr fontId="4" type="noConversion"/>
  </si>
  <si>
    <t xml:space="preserve">▶ 전화요금(사무실2대외), FAX 1대 </t>
    <phoneticPr fontId="4" type="noConversion"/>
  </si>
  <si>
    <t xml:space="preserve"> 가) 면적별 75.65에서 100원씩 부과 (관리규약 및 장기수선수립 계획에 의해 2016년 1월 1일부터 인상적용.)</t>
    <phoneticPr fontId="4" type="noConversion"/>
  </si>
  <si>
    <t>승강기 정기 검사비(년1회)</t>
    <phoneticPr fontId="4" type="noConversion"/>
  </si>
  <si>
    <t>승강기 정밀 안전검사비(년1회)</t>
    <phoneticPr fontId="4" type="noConversion"/>
  </si>
  <si>
    <t>물탱크청소비(년2회)</t>
    <phoneticPr fontId="4" type="noConversion"/>
  </si>
  <si>
    <t>건축물 정밀점검비(3년1회)</t>
    <phoneticPr fontId="4" type="noConversion"/>
  </si>
  <si>
    <t>승강기수입</t>
    <phoneticPr fontId="4" type="noConversion"/>
  </si>
  <si>
    <t>작업지체상환금(캐노피공사)</t>
    <phoneticPr fontId="4" type="noConversion"/>
  </si>
  <si>
    <t>13. 선거관리회의 운영비(제10기)</t>
    <phoneticPr fontId="4" type="noConversion"/>
  </si>
  <si>
    <t>전년(1월)
발생금액</t>
    <phoneticPr fontId="4" type="noConversion"/>
  </si>
  <si>
    <t>당월(1월)
발생금액</t>
    <phoneticPr fontId="4" type="noConversion"/>
  </si>
  <si>
    <t>16년최저임금 적용 변동</t>
    <phoneticPr fontId="4" type="noConversion"/>
  </si>
  <si>
    <t>16년 1월부터 100원으로 인상</t>
    <phoneticPr fontId="4" type="noConversion"/>
  </si>
  <si>
    <t xml:space="preserve">                       나. (기타) : 2016년 1월분 관리비부과 내역서 · · · · · · · · · · · · ·(첨부)</t>
    <phoneticPr fontId="4" type="noConversion"/>
  </si>
  <si>
    <t>관리규약 및 입주자대표회의 의결에 의거 2016년 1월 1일부터 장기수선충당금이 인상되었습니다.</t>
    <phoneticPr fontId="4" type="noConversion"/>
  </si>
  <si>
    <t>2019.02.12</t>
    <phoneticPr fontId="4" type="noConversion"/>
  </si>
  <si>
    <t>2019.02.28</t>
    <phoneticPr fontId="4" type="noConversion"/>
  </si>
  <si>
    <t>장기수선충당예치금이자</t>
    <phoneticPr fontId="4" type="noConversion"/>
  </si>
  <si>
    <t>수 선 비</t>
    <phoneticPr fontId="4" type="noConversion"/>
  </si>
  <si>
    <t>장기수선충당예치금</t>
    <phoneticPr fontId="4" type="noConversion"/>
  </si>
  <si>
    <t>2017.03.09</t>
    <phoneticPr fontId="4" type="noConversion"/>
  </si>
  <si>
    <t>2018.03.21</t>
    <phoneticPr fontId="4" type="noConversion"/>
  </si>
  <si>
    <t>2017.03.31</t>
    <phoneticPr fontId="4" type="noConversion"/>
  </si>
  <si>
    <t>팩스,복사사용료,준조압원배당금</t>
    <phoneticPr fontId="4" type="noConversion"/>
  </si>
  <si>
    <t>법인세비용</t>
    <phoneticPr fontId="4" type="noConversion"/>
  </si>
  <si>
    <t>2015년 법인세비용</t>
    <phoneticPr fontId="4" type="noConversion"/>
  </si>
  <si>
    <t>㈜데이지(16. 3. 1 ~ 17. 2. 28)</t>
    <phoneticPr fontId="4" type="noConversion"/>
  </si>
  <si>
    <t>중계기임대료(kt,sk텔레콤)</t>
    <phoneticPr fontId="4" type="noConversion"/>
  </si>
  <si>
    <t>재활용 분리수거 : 매주 수요일  오전 10시 ~ 목요일 오전 10시까지(반드시 수거일 및 수거시간 엄수요망)</t>
    <phoneticPr fontId="4" type="noConversion"/>
  </si>
  <si>
    <t>생활쓰레기(규격봉투사용) : 매일</t>
    <phoneticPr fontId="4" type="noConversion"/>
  </si>
  <si>
    <t xml:space="preserve">승강기 사용시는 \80,000을 납부하신후 사용하시기 바랍니다.(사다리불가라인\40,000원) </t>
    <phoneticPr fontId="4" type="noConversion"/>
  </si>
  <si>
    <t>잡 지출</t>
    <phoneticPr fontId="4" type="noConversion"/>
  </si>
  <si>
    <t>부 과차손</t>
    <phoneticPr fontId="4" type="noConversion"/>
  </si>
  <si>
    <t>잡지출(수익기금)</t>
    <phoneticPr fontId="4" type="noConversion"/>
  </si>
  <si>
    <t>자생단제지원금
(수익기금)</t>
    <phoneticPr fontId="4" type="noConversion"/>
  </si>
  <si>
    <t>16년1기예정 부가세 납부차액및 
전기료 카드할인 차액등</t>
    <phoneticPr fontId="4" type="noConversion"/>
  </si>
  <si>
    <t>부과차익</t>
    <phoneticPr fontId="4" type="noConversion"/>
  </si>
  <si>
    <t>운동시설충당금이자</t>
    <phoneticPr fontId="4" type="noConversion"/>
  </si>
  <si>
    <t>㈜이엠피서비스(16. 2. 1 ~ 16. 4. 30)-연장</t>
    <phoneticPr fontId="4" type="noConversion"/>
  </si>
  <si>
    <t xml:space="preserve">      - \18,861,600-.(한화손해보험/16. 5.22 ~ 17. 5.22) 12개월 분할부과</t>
    <phoneticPr fontId="4" type="noConversion"/>
  </si>
  <si>
    <r>
      <t>세무업무대행비-</t>
    </r>
    <r>
      <rPr>
        <sz val="6"/>
        <rFont val="굴림"/>
        <family val="3"/>
        <charset val="129"/>
      </rPr>
      <t>아파트세무주치의</t>
    </r>
    <phoneticPr fontId="4" type="noConversion"/>
  </si>
  <si>
    <t>2017.04.11</t>
    <phoneticPr fontId="4" type="noConversion"/>
  </si>
  <si>
    <t>2019.06.10</t>
    <phoneticPr fontId="4" type="noConversion"/>
  </si>
  <si>
    <r>
      <t>청소비</t>
    </r>
    <r>
      <rPr>
        <sz val="6"/>
        <rFont val="굴림"/>
        <family val="3"/>
        <charset val="129"/>
      </rPr>
      <t>(수익기금)</t>
    </r>
    <phoneticPr fontId="4" type="noConversion"/>
  </si>
  <si>
    <t>피복비</t>
    <phoneticPr fontId="4" type="noConversion"/>
  </si>
  <si>
    <t>승강기 노후부품 커플러교체비</t>
    <phoneticPr fontId="4" type="noConversion"/>
  </si>
  <si>
    <t>16년 소방시설 종합정밀점검지적 선로보수비</t>
    <phoneticPr fontId="4" type="noConversion"/>
  </si>
  <si>
    <t>▶ 직원 근무복 구입</t>
    <phoneticPr fontId="4" type="noConversion"/>
  </si>
  <si>
    <t>자전거수거비(240대*3,000)</t>
    <phoneticPr fontId="4" type="noConversion"/>
  </si>
  <si>
    <t>고지서 사용금액</t>
    <phoneticPr fontId="4" type="noConversion"/>
  </si>
  <si>
    <t>월정 표준 사용 요금</t>
    <phoneticPr fontId="4" type="noConversion"/>
  </si>
  <si>
    <t>10월 수금정산액 등</t>
    <phoneticPr fontId="4" type="noConversion"/>
  </si>
  <si>
    <t>x21</t>
    <phoneticPr fontId="4" type="noConversion"/>
  </si>
  <si>
    <t>세대 및 고지차액</t>
    <phoneticPr fontId="4" type="noConversion"/>
  </si>
  <si>
    <t>8월 알뜰장 전기료</t>
    <phoneticPr fontId="4" type="noConversion"/>
  </si>
  <si>
    <t>검침입력</t>
    <phoneticPr fontId="4" type="noConversion"/>
  </si>
  <si>
    <t>부과세대수</t>
    <phoneticPr fontId="4" type="noConversion"/>
  </si>
  <si>
    <t>사용금액(원)</t>
    <phoneticPr fontId="4" type="noConversion"/>
  </si>
  <si>
    <t>202호</t>
    <phoneticPr fontId="4" type="noConversion"/>
  </si>
  <si>
    <t>2F</t>
    <phoneticPr fontId="4" type="noConversion"/>
  </si>
  <si>
    <t>정액(한국,하나로,파워콤) =</t>
    <phoneticPr fontId="4" type="noConversion"/>
  </si>
  <si>
    <t>206호</t>
    <phoneticPr fontId="4" type="noConversion"/>
  </si>
  <si>
    <t>1,2F</t>
    <phoneticPr fontId="4" type="noConversion"/>
  </si>
  <si>
    <r>
      <t xml:space="preserve">수도사업소: 950-0764~ 8(고객번호: 41480 - </t>
    </r>
    <r>
      <rPr>
        <sz val="11"/>
        <color theme="0"/>
        <rFont val="맑은 고딕"/>
        <family val="3"/>
        <charset val="129"/>
      </rPr>
      <t>0920 930)</t>
    </r>
    <phoneticPr fontId="4" type="noConversion"/>
  </si>
  <si>
    <t>지급명령신청 송달료환급
(2-502,6-203,207-602)</t>
    <phoneticPr fontId="4" type="noConversion"/>
  </si>
  <si>
    <t>▶ 전산대여료, 부과내역서대금, 디지털 안내방송비등</t>
    <phoneticPr fontId="4" type="noConversion"/>
  </si>
  <si>
    <t>▶ 복사용지, 클립, 복사지, 종이컵등</t>
    <phoneticPr fontId="4" type="noConversion"/>
  </si>
  <si>
    <t>지붕싱글보수공사-210,212,216,218동</t>
    <phoneticPr fontId="4" type="noConversion"/>
  </si>
  <si>
    <t>▶ 식대 보조비,야간근로자 특수건강검진비,하계휴가비지원금</t>
    <phoneticPr fontId="4" type="noConversion"/>
  </si>
  <si>
    <t>교육훈련비</t>
    <phoneticPr fontId="4" type="noConversion"/>
  </si>
  <si>
    <t>10.세대 내부 공사시 관리소 신고(공사시 ￦80,000원 일부공사시 ￦50,000원)</t>
    <phoneticPr fontId="4" type="noConversion"/>
  </si>
  <si>
    <t>2. 세대 전출.전입시 안내</t>
    <phoneticPr fontId="4" type="noConversion"/>
  </si>
  <si>
    <t>지출내역</t>
    <phoneticPr fontId="4" type="noConversion"/>
  </si>
  <si>
    <t>구분</t>
    <phoneticPr fontId="4" type="noConversion"/>
  </si>
  <si>
    <t>지출</t>
    <phoneticPr fontId="4" type="noConversion"/>
  </si>
  <si>
    <t>잔액</t>
    <phoneticPr fontId="4" type="noConversion"/>
  </si>
  <si>
    <t>옥상 우레탄방수공사(210동 217동)</t>
    <phoneticPr fontId="4" type="noConversion"/>
  </si>
  <si>
    <t>계단실 캐노피공사잔금지급</t>
    <phoneticPr fontId="4" type="noConversion"/>
  </si>
  <si>
    <t>1.우레탄방수공사(15.11.18의결사항) 2. 계단실 캐노피공사잔금(15.10.07의결사항)</t>
    <phoneticPr fontId="4" type="noConversion"/>
  </si>
  <si>
    <t>전년이월</t>
    <phoneticPr fontId="4" type="noConversion"/>
  </si>
  <si>
    <t>예비비</t>
    <phoneticPr fontId="4" type="noConversion"/>
  </si>
  <si>
    <t>14. 예비비적립금 사용내역</t>
    <phoneticPr fontId="4" type="noConversion"/>
  </si>
  <si>
    <t>15. 수도료     ----------------------------------------------------------</t>
    <phoneticPr fontId="4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</si>
  <si>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>자동이체 신청(해지)은 세대에서 본인이 각 은행방문후 가능합니다.</t>
    </r>
    <phoneticPr fontId="4" type="noConversion"/>
  </si>
  <si>
    <t>   ―. 자동이체 출금은 각 해당은행 업무시간종료 시간에 맞추어 단 1회만 출금되오니, 통장잔고를</t>
    <phoneticPr fontId="4" type="noConversion"/>
  </si>
  <si>
    <t>반드시 확인하시기 바랍니다.(자세한 사항은 각 해당은행에 문의하시기 바랍니다.)</t>
    <phoneticPr fontId="4" type="noConversion"/>
  </si>
  <si>
    <t>   ―. 16년 3월부터 신규자동이체가 가능한 카드사는 신한카드,롯데카드이오니 참고하시기 바랍니다.</t>
    <phoneticPr fontId="4" type="noConversion"/>
  </si>
  <si>
    <t>▶ 금월 부과월에서 미납금액 포함하여 총금액으로 출금(부과월 별로 출금안됨)</t>
    <phoneticPr fontId="4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</si>
  <si>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 xml:space="preserve">무통장 입금과 온라인 송금 시 </t>
    </r>
    <r>
      <rPr>
        <b/>
        <u/>
        <sz val="11"/>
        <color indexed="8"/>
        <rFont val="굴림체"/>
        <family val="3"/>
        <charset val="129"/>
      </rPr>
      <t>동. 호수</t>
    </r>
    <r>
      <rPr>
        <b/>
        <sz val="11"/>
        <color indexed="8"/>
        <rFont val="굴림체"/>
        <family val="3"/>
        <charset val="129"/>
      </rPr>
      <t>를 꼭 기재해 주시기 바랍니다.</t>
    </r>
    <phoneticPr fontId="4" type="noConversion"/>
  </si>
  <si>
    <t>   ―. 온라인 입금시 고지된 금액(납기내, 납기후)을 정확히 확인하여 입금하셔야 합니다.</t>
    <phoneticPr fontId="4" type="noConversion"/>
  </si>
  <si>
    <t>   ―. 폰뱅킹 입금시에는 입금즉시 동호, 성명, 입금은행, 입금일자를 관리소에 연락바랍니다.</t>
    <phoneticPr fontId="4" type="noConversion"/>
  </si>
  <si>
    <t xml:space="preserve">   ―. 인터넷 송금시 반드시 동, 호수로 기록하며 받는 통장과 보내는 통장 표기가 맞는지 </t>
    <phoneticPr fontId="4" type="noConversion"/>
  </si>
  <si>
    <t xml:space="preserve">       확인하시기 바랍니다.</t>
    <phoneticPr fontId="4" type="noConversion"/>
  </si>
  <si>
    <t>차량리모컨을 반드시 반납(입주시 무상지급-미 반납시 ￦9,000원 배상)하셔야 합니다.</t>
    <phoneticPr fontId="4" type="noConversion"/>
  </si>
  <si>
    <t>-자동이체세대(카드)는 반드시 각 해당은행(카드사)에 미리 해지요청을 하시기 바랍니다.</t>
    <phoneticPr fontId="4" type="noConversion"/>
  </si>
  <si>
    <t>[관리규약 제2장 제9조]에 의거 관리소로 방문 입주자카드작성 및 차량이 있으시면 차량스티커를</t>
    <phoneticPr fontId="4" type="noConversion"/>
  </si>
  <si>
    <t>발급 받으시기 바랍니다.(홈페이지 가입시 확인후 승인가능)</t>
    <phoneticPr fontId="4" type="noConversion"/>
  </si>
  <si>
    <t>3. 생활쓰레기 및 재활용 분리수거 배출일시 안내</t>
    <phoneticPr fontId="4" type="noConversion"/>
  </si>
  <si>
    <t>폐가구 및 재활용 불가 제품 무단배출 금지.(무단배출시 CCTV확인후 공개)</t>
    <phoneticPr fontId="4" type="noConversion"/>
  </si>
  <si>
    <t xml:space="preserve">-일부 비양심적인 주민들의 무단배출 행위로 쓰레기장 주위와 단지내 환경이 지저분하오니 </t>
    <phoneticPr fontId="4" type="noConversion"/>
  </si>
  <si>
    <t xml:space="preserve">       무단 배출을 삼가하여 산뜻한 환경이 될수 있도록 입주민들에 협조를 부탁드립니다.            </t>
    <phoneticPr fontId="4" type="noConversion"/>
  </si>
  <si>
    <t>음식물쓰레기량을 줄이기 위한 정부시책으로 시행합니다.</t>
    <phoneticPr fontId="4" type="noConversion"/>
  </si>
  <si>
    <t>파주시청 - www.paju.go.kr (파주환경시설과 ☎031-940-4731 문의)</t>
    <phoneticPr fontId="4" type="noConversion"/>
  </si>
  <si>
    <t>u도시생활폐기물 통합관리서비스-www.citywaste.or.kr 에서 배출량 확인가능(콘포테크 ☎1577-1936 문의)</t>
    <phoneticPr fontId="4" type="noConversion"/>
  </si>
  <si>
    <t xml:space="preserve">배출안내→계량기통에 카드를 대면 투입구가 열림→ 음식물쓰레기만 버림 </t>
    <phoneticPr fontId="4" type="noConversion"/>
  </si>
  <si>
    <t>→ 카드를 다시 대면 뚜껑이 닫힘(절대 손으로 닫지 마세요)</t>
    <phoneticPr fontId="4" type="noConversion"/>
  </si>
  <si>
    <t xml:space="preserve">    -. 창문 밑에 의자나 탁자를 놓아둔 주민께서는 혹시 아이들이 올라가 놀다가 창문 밖으로 </t>
    <phoneticPr fontId="4" type="noConversion"/>
  </si>
  <si>
    <t>    -. 흡연 후 창밖으로 담배꽁초를 절대 버리지 마시기 바랍니다. </t>
    <phoneticPr fontId="4" type="noConversion"/>
  </si>
  <si>
    <r>
      <t>     </t>
    </r>
    <r>
      <rPr>
        <sz val="6"/>
        <color indexed="8"/>
        <rFont val="굴림체"/>
        <family val="3"/>
        <charset val="129"/>
      </rPr>
      <t xml:space="preserve">  </t>
    </r>
    <r>
      <rPr>
        <sz val="11"/>
        <color indexed="8"/>
        <rFont val="굴림체"/>
        <family val="3"/>
        <charset val="129"/>
      </rPr>
      <t>계신지 아시는지요?  윗층 주민께서는 쿵쿵 울리는 발소리와 어린이들의 마구 뛰는 행동 및 늦은시간</t>
    </r>
    <phoneticPr fontId="4" type="noConversion"/>
  </si>
  <si>
    <t>     청소기, 세탁기 사용등 이웃을 배려하는 마음으로 자재하여 주시기 바랍니다.</t>
    <phoneticPr fontId="4" type="noConversion"/>
  </si>
  <si>
    <t>11. 주차선 이외 주차금지</t>
    <phoneticPr fontId="4" type="noConversion"/>
  </si>
  <si>
    <t>12. 주차장 이용 안내(차량스티커 필히 발급 부착)</t>
    <phoneticPr fontId="4" type="noConversion"/>
  </si>
  <si>
    <t>수거차량, 이삿짐 차량 통행시 접촉 사고의 원인이 되고 있습니다.</t>
    <phoneticPr fontId="4" type="noConversion"/>
  </si>
  <si>
    <t>다소 불편하시더라도 조금 떨어져 있는 아래의 여유있는 주차장에 주차하시어 쾌적하고 안전한</t>
    <phoneticPr fontId="4" type="noConversion"/>
  </si>
  <si>
    <t>단지를 만드는데 동참하여 주시기 간곡히 부탁드립니다.</t>
    <phoneticPr fontId="4" type="noConversion"/>
  </si>
  <si>
    <r>
      <t>13. 장기수선충당금 인상 안내</t>
    </r>
    <r>
      <rPr>
        <b/>
        <sz val="12"/>
        <rFont val="굴림"/>
        <family val="3"/>
        <charset val="129"/>
      </rPr>
      <t>(㎡당 75.65원 ⇒ 100원으로 인상적용)</t>
    </r>
    <phoneticPr fontId="4" type="noConversion"/>
  </si>
  <si>
    <r>
      <t xml:space="preserve">14. 장기체납세대 명단공개 </t>
    </r>
    <r>
      <rPr>
        <b/>
        <sz val="11"/>
        <rFont val="굴림"/>
        <family val="3"/>
        <charset val="129"/>
      </rPr>
      <t>- 2015년 5월 20일 정기입주자대표회의 의결사항</t>
    </r>
    <phoneticPr fontId="4" type="noConversion"/>
  </si>
  <si>
    <r>
      <t> </t>
    </r>
    <r>
      <rPr>
        <u/>
        <sz val="11"/>
        <color indexed="8"/>
        <rFont val="굴림체"/>
        <family val="3"/>
        <charset val="129"/>
      </rPr>
      <t xml:space="preserve">▶ </t>
    </r>
    <r>
      <rPr>
        <b/>
        <u/>
        <sz val="11"/>
        <color indexed="8"/>
        <rFont val="굴림체"/>
        <family val="3"/>
        <charset val="129"/>
      </rPr>
      <t>3개월 이상 연체시</t>
    </r>
    <r>
      <rPr>
        <b/>
        <sz val="11"/>
        <color indexed="8"/>
        <rFont val="굴림체"/>
        <family val="3"/>
        <charset val="129"/>
      </rPr>
      <t xml:space="preserve"> </t>
    </r>
    <r>
      <rPr>
        <sz val="11"/>
        <color indexed="8"/>
        <rFont val="굴림체"/>
        <family val="3"/>
        <charset val="129"/>
      </rPr>
      <t>선의의 입주자 보호를 위하여 게시판에 명단 공개나 단전, 단수  및 법적</t>
    </r>
    <phoneticPr fontId="4" type="noConversion"/>
  </si>
  <si>
    <t> ③ 관리비 과오납 및 이중납부 주의 요망</t>
    <phoneticPr fontId="4" type="noConversion"/>
  </si>
  <si>
    <t>전출.전입세대간 상호 정산하셔야 하며(관리소는 중간관리비를 수납받지 않습니다.)</t>
    <phoneticPr fontId="4" type="noConversion"/>
  </si>
  <si>
    <t>-미납관리비가 있을시는 전출이 불가하오니 반드시 납부하시기 바랍니다.(전입세대간 승계 불가)</t>
    <phoneticPr fontId="4" type="noConversion"/>
  </si>
  <si>
    <t>▶전입</t>
    <phoneticPr fontId="4" type="noConversion"/>
  </si>
  <si>
    <r>
      <t xml:space="preserve">시행전-세대당 월￦1,000 부과  </t>
    </r>
    <r>
      <rPr>
        <b/>
        <u/>
        <sz val="11"/>
        <rFont val="굴림"/>
        <family val="3"/>
        <charset val="129"/>
      </rPr>
      <t>→</t>
    </r>
    <r>
      <rPr>
        <u/>
        <sz val="11"/>
        <rFont val="굴림"/>
        <family val="3"/>
        <charset val="129"/>
      </rPr>
      <t xml:space="preserve"> 시행후 부과-배출량 무게에 따라 세대 월 부과</t>
    </r>
    <phoneticPr fontId="4" type="noConversion"/>
  </si>
  <si>
    <t>5. 비상계단 적치물 제거 요망(소방법 규정에 의거 300만원이하 벌금)</t>
    <phoneticPr fontId="4" type="noConversion"/>
  </si>
  <si>
    <t xml:space="preserve">    -. 현재 비상계단에 쌓아놓은 세대 보관물건 및 신문지 등으로 화재 위험 및 청소시 불편을 </t>
    <phoneticPr fontId="4" type="noConversion"/>
  </si>
  <si>
    <t>       겪고 있으니 조속히 처리하여 주시기 바랍니다.</t>
    <phoneticPr fontId="4" type="noConversion"/>
  </si>
  <si>
    <t>       추락할 수 있다는 위험성을 생각바랍니다.</t>
    <phoneticPr fontId="4" type="noConversion"/>
  </si>
  <si>
    <t>6. 가스렌지 사용 유의</t>
    <phoneticPr fontId="4" type="noConversion"/>
  </si>
  <si>
    <t xml:space="preserve">    -. 난방기기 등을 사용 후  집을 비울시는 꼭 전원을 꺼야 합니다. </t>
    <phoneticPr fontId="4" type="noConversion"/>
  </si>
  <si>
    <t xml:space="preserve">    -. 항상 불조심에 유의하시기 바랍니다.</t>
    <phoneticPr fontId="4" type="noConversion"/>
  </si>
  <si>
    <r>
      <t>   -. 현재 얼마나 많은</t>
    </r>
    <r>
      <rPr>
        <b/>
        <sz val="11"/>
        <color indexed="8"/>
        <rFont val="굴림체"/>
        <family val="3"/>
        <charset val="129"/>
      </rPr>
      <t xml:space="preserve"> </t>
    </r>
    <r>
      <rPr>
        <sz val="11"/>
        <color indexed="8"/>
        <rFont val="굴림체"/>
        <family val="3"/>
        <charset val="129"/>
      </rPr>
      <t xml:space="preserve">아래층 주민들이 윗층 소음 때문에 정신적 육체적 고통에 시달리고  </t>
    </r>
    <phoneticPr fontId="4" type="noConversion"/>
  </si>
  <si>
    <r>
      <t>2)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지하주차장 출입구 및 경사로</t>
    </r>
    <phoneticPr fontId="4" type="noConversion"/>
  </si>
  <si>
    <t>2016.9.13</t>
    <phoneticPr fontId="4" type="noConversion"/>
  </si>
  <si>
    <t>15. 기타사항</t>
    <phoneticPr fontId="4" type="noConversion"/>
  </si>
  <si>
    <t>1) 우리아파트 주소변경안내</t>
    <phoneticPr fontId="4" type="noConversion"/>
  </si>
  <si>
    <t>도로명주소 : 경기도 파주시 와석순환로 347(해솔마을2단지월드메르디앙 (200동 000호)</t>
    <phoneticPr fontId="4" type="noConversion"/>
  </si>
  <si>
    <t>지 번 주 소 : 경기도 파주시 목동동 2-117(해솔마을2단지월드메르디앙 (200동 000호)</t>
    <phoneticPr fontId="4" type="noConversion"/>
  </si>
  <si>
    <t>내             역</t>
    <phoneticPr fontId="4" type="noConversion"/>
  </si>
  <si>
    <t>구비서류</t>
    <phoneticPr fontId="4" type="noConversion"/>
  </si>
  <si>
    <t>복지할인(1급~3급)</t>
    <phoneticPr fontId="4" type="noConversion"/>
  </si>
  <si>
    <t>장애인,국가유공자, 5.18민주유공자</t>
    <phoneticPr fontId="4" type="noConversion"/>
  </si>
  <si>
    <t xml:space="preserve"> ①주민등록등본1부</t>
    <phoneticPr fontId="4" type="noConversion"/>
  </si>
  <si>
    <t>독립유공자,기초생활수급자 등 할인적용대상자</t>
    <phoneticPr fontId="4" type="noConversion"/>
  </si>
  <si>
    <t xml:space="preserve"> ②복지카드사본1부</t>
    <phoneticPr fontId="4" type="noConversion"/>
  </si>
  <si>
    <t>대가족 신청(5인이상)</t>
    <phoneticPr fontId="4" type="noConversion"/>
  </si>
  <si>
    <t>300KW이상 누진제 완화</t>
    <phoneticPr fontId="4" type="noConversion"/>
  </si>
  <si>
    <t xml:space="preserve"> 주민등록등본1부</t>
    <phoneticPr fontId="4" type="noConversion"/>
  </si>
  <si>
    <t>3자녀 이상 가구</t>
    <phoneticPr fontId="4" type="noConversion"/>
  </si>
  <si>
    <t>해당월 전기요금의 20%할인, 대가족요금비교</t>
    <phoneticPr fontId="4" type="noConversion"/>
  </si>
  <si>
    <t>하여 유리한 요금 적용</t>
    <phoneticPr fontId="4" type="noConversion"/>
  </si>
  <si>
    <t>TV수신료, 면제 대상자</t>
    <phoneticPr fontId="4" type="noConversion"/>
  </si>
  <si>
    <t>기초생활수급자, 시·청각장애</t>
    <phoneticPr fontId="4" type="noConversion"/>
  </si>
  <si>
    <t>국가유공자면제대상</t>
    <phoneticPr fontId="4" type="noConversion"/>
  </si>
  <si>
    <t>TV미소지 세대(관리사무소 방문 신청)</t>
    <phoneticPr fontId="4" type="noConversion"/>
  </si>
  <si>
    <t>50KW미만 사용세대</t>
    <phoneticPr fontId="4" type="noConversion"/>
  </si>
  <si>
    <t>전기요금 복지할인</t>
    <phoneticPr fontId="4" type="noConversion"/>
  </si>
  <si>
    <t>기초생활수급자,장애인,독립</t>
    <phoneticPr fontId="4" type="noConversion"/>
  </si>
  <si>
    <t>상이유공자- 정액감면(월8천원)</t>
    <phoneticPr fontId="4" type="noConversion"/>
  </si>
  <si>
    <t>차상위계층- 2천원</t>
    <phoneticPr fontId="4" type="noConversion"/>
  </si>
  <si>
    <t>3자녀, 대가족 - 현행유지</t>
    <phoneticPr fontId="4" type="noConversion"/>
  </si>
  <si>
    <t>(3자녀-20%,대가족 누진1단계</t>
    <phoneticPr fontId="4" type="noConversion"/>
  </si>
  <si>
    <t>하향조정) + 월1만2천원한도</t>
    <phoneticPr fontId="4" type="noConversion"/>
  </si>
  <si>
    <t xml:space="preserve"> 해당없음</t>
    <phoneticPr fontId="4" type="noConversion"/>
  </si>
  <si>
    <t xml:space="preserve">   2) 전기요금 할인신청 안내 (고객번호 : 10 1614 3815)</t>
    <phoneticPr fontId="4" type="noConversion"/>
  </si>
  <si>
    <t>1.할인대상자는 주소 이전된 세대로서 한국전력 또는 관리사무소에 신청서를 제출하신 세대에 적용</t>
    <phoneticPr fontId="4" type="noConversion"/>
  </si>
  <si>
    <t>전월잔액</t>
    <phoneticPr fontId="4" type="noConversion"/>
  </si>
  <si>
    <t>당월적립액</t>
    <phoneticPr fontId="4" type="noConversion"/>
  </si>
  <si>
    <t>당월지출액</t>
    <phoneticPr fontId="4" type="noConversion"/>
  </si>
  <si>
    <t>잔    액</t>
    <phoneticPr fontId="4" type="noConversion"/>
  </si>
  <si>
    <t>비고</t>
    <phoneticPr fontId="4" type="noConversion"/>
  </si>
  <si>
    <r>
      <t xml:space="preserve"> </t>
    </r>
    <r>
      <rPr>
        <sz val="9.5"/>
        <rFont val="맑은 고딕"/>
        <family val="3"/>
        <charset val="129"/>
        <scheme val="minor"/>
      </rPr>
      <t>나) 장기수선충당금 사용내역</t>
    </r>
    <phoneticPr fontId="4" type="noConversion"/>
  </si>
  <si>
    <t>검침대행비</t>
    <phoneticPr fontId="4" type="noConversion"/>
  </si>
  <si>
    <t>한파로인한피해보상비및수목낙하피해보상등</t>
    <phoneticPr fontId="4" type="noConversion"/>
  </si>
  <si>
    <t>지급명령신청 인지대및송달료(2-502,6-203)</t>
    <phoneticPr fontId="4" type="noConversion"/>
  </si>
  <si>
    <t>운동시설이자전입액</t>
    <phoneticPr fontId="4" type="noConversion"/>
  </si>
  <si>
    <t>고유목적준비금전입액</t>
    <phoneticPr fontId="4" type="noConversion"/>
  </si>
  <si>
    <t>4) 수익사업기금 내역서</t>
    <phoneticPr fontId="4" type="noConversion"/>
  </si>
  <si>
    <t>전 월 이 월 금</t>
    <phoneticPr fontId="4" type="noConversion"/>
  </si>
  <si>
    <t>당 월 수 입 금</t>
    <phoneticPr fontId="4" type="noConversion"/>
  </si>
  <si>
    <t>부 가 세 (VAT)</t>
    <phoneticPr fontId="4" type="noConversion"/>
  </si>
  <si>
    <t>당 월 지 출 금</t>
    <phoneticPr fontId="4" type="noConversion"/>
  </si>
  <si>
    <t>잔             액</t>
    <phoneticPr fontId="4" type="noConversion"/>
  </si>
  <si>
    <t>수              입</t>
    <phoneticPr fontId="4" type="noConversion"/>
  </si>
  <si>
    <t>지            출</t>
    <phoneticPr fontId="4" type="noConversion"/>
  </si>
  <si>
    <t>내           역</t>
    <phoneticPr fontId="4" type="noConversion"/>
  </si>
  <si>
    <t>금    액</t>
    <phoneticPr fontId="4" type="noConversion"/>
  </si>
  <si>
    <t>금           액</t>
    <phoneticPr fontId="4" type="noConversion"/>
  </si>
  <si>
    <t>광고료,재활용매각 수입계</t>
    <phoneticPr fontId="4" type="noConversion"/>
  </si>
  <si>
    <t>지  출  계</t>
    <phoneticPr fontId="4" type="noConversion"/>
  </si>
  <si>
    <t>위와 같이 결산을 보고합니다.</t>
    <phoneticPr fontId="4" type="noConversion"/>
  </si>
  <si>
    <t>해솔마을 2단지 월드메르디앙아파트 입주자대표회의</t>
    <phoneticPr fontId="4" type="noConversion"/>
  </si>
  <si>
    <t xml:space="preserve">1) 산출기간 : 2016년 </t>
    <phoneticPr fontId="4" type="noConversion"/>
  </si>
  <si>
    <t>월</t>
    <phoneticPr fontId="4" type="noConversion"/>
  </si>
  <si>
    <t>일</t>
    <phoneticPr fontId="4" type="noConversion"/>
  </si>
  <si>
    <t>~</t>
    <phoneticPr fontId="4" type="noConversion"/>
  </si>
  <si>
    <t>2016년</t>
    <phoneticPr fontId="4" type="noConversion"/>
  </si>
  <si>
    <t>한국수자원공사 고지금액</t>
    <phoneticPr fontId="4" type="noConversion"/>
  </si>
  <si>
    <t>부과내역</t>
    <phoneticPr fontId="4" type="noConversion"/>
  </si>
  <si>
    <t>전월검침</t>
    <phoneticPr fontId="4" type="noConversion"/>
  </si>
  <si>
    <t>금월검침</t>
    <phoneticPr fontId="4" type="noConversion"/>
  </si>
  <si>
    <t>사  용  량</t>
    <phoneticPr fontId="4" type="noConversion"/>
  </si>
  <si>
    <t>고지금액</t>
    <phoneticPr fontId="4" type="noConversion"/>
  </si>
  <si>
    <t>세대 부과액</t>
    <phoneticPr fontId="4" type="noConversion"/>
  </si>
  <si>
    <t>상수도</t>
    <phoneticPr fontId="4" type="noConversion"/>
  </si>
  <si>
    <t>총 사용량</t>
    <phoneticPr fontId="4" type="noConversion"/>
  </si>
  <si>
    <t>하수도</t>
    <phoneticPr fontId="4" type="noConversion"/>
  </si>
  <si>
    <t>물이용금</t>
    <phoneticPr fontId="4" type="noConversion"/>
  </si>
  <si>
    <t>감면금액</t>
    <phoneticPr fontId="4" type="noConversion"/>
  </si>
  <si>
    <t>합    계</t>
    <phoneticPr fontId="4" type="noConversion"/>
  </si>
  <si>
    <t>1) 한전 고지금액</t>
    <phoneticPr fontId="4" type="noConversion"/>
  </si>
  <si>
    <t xml:space="preserve">2) 산출기간 : 2016년 </t>
    <phoneticPr fontId="4" type="noConversion"/>
  </si>
  <si>
    <t>구    분</t>
    <phoneticPr fontId="4" type="noConversion"/>
  </si>
  <si>
    <t>일반용갑고압A</t>
    <phoneticPr fontId="4" type="noConversion"/>
  </si>
  <si>
    <t>TV수신료</t>
    <phoneticPr fontId="4" type="noConversion"/>
  </si>
  <si>
    <t>산업용갑고압A</t>
    <phoneticPr fontId="4" type="noConversion"/>
  </si>
  <si>
    <t>가로등을</t>
    <phoneticPr fontId="4" type="noConversion"/>
  </si>
  <si>
    <t>사용량[KWH]</t>
    <phoneticPr fontId="4" type="noConversion"/>
  </si>
  <si>
    <t>금    액</t>
    <phoneticPr fontId="4" type="noConversion"/>
  </si>
  <si>
    <t>3) 산출내역</t>
    <phoneticPr fontId="4" type="noConversion"/>
  </si>
  <si>
    <t>계</t>
    <phoneticPr fontId="4" type="noConversion"/>
  </si>
  <si>
    <t>구      분</t>
    <phoneticPr fontId="4" type="noConversion"/>
  </si>
  <si>
    <t>금월사용량[KWH]</t>
    <phoneticPr fontId="4" type="noConversion"/>
  </si>
  <si>
    <t>사 용 금 액</t>
    <phoneticPr fontId="4" type="noConversion"/>
  </si>
  <si>
    <t>비     고</t>
    <phoneticPr fontId="4" type="noConversion"/>
  </si>
  <si>
    <t>세대전기요금</t>
    <phoneticPr fontId="4" type="noConversion"/>
  </si>
  <si>
    <t>세대사용량. 조견표에 의한 부과</t>
    <phoneticPr fontId="4" type="noConversion"/>
  </si>
  <si>
    <t>TV 수신료</t>
    <phoneticPr fontId="4" type="noConversion"/>
  </si>
  <si>
    <t>시청각 장애, 기초수급, TV 없는세대, 50kw미만.</t>
    <phoneticPr fontId="4" type="noConversion"/>
  </si>
  <si>
    <t>공용분</t>
    <phoneticPr fontId="4" type="noConversion"/>
  </si>
  <si>
    <t>업무용</t>
    <phoneticPr fontId="4" type="noConversion"/>
  </si>
  <si>
    <t>급수펌프, 소방시설</t>
    <phoneticPr fontId="4" type="noConversion"/>
  </si>
  <si>
    <t>가로등, 녹지등</t>
    <phoneticPr fontId="4" type="noConversion"/>
  </si>
  <si>
    <t>소   계</t>
    <phoneticPr fontId="4" type="noConversion"/>
  </si>
  <si>
    <t>승강기 전기료</t>
    <phoneticPr fontId="4" type="noConversion"/>
  </si>
  <si>
    <t>승강기 운행 사용세대</t>
    <phoneticPr fontId="4" type="noConversion"/>
  </si>
  <si>
    <t>업 체 분</t>
    <phoneticPr fontId="4" type="noConversion"/>
  </si>
  <si>
    <t>KT</t>
    <phoneticPr fontId="4" type="noConversion"/>
  </si>
  <si>
    <t>통신업체 부담</t>
    <phoneticPr fontId="4" type="noConversion"/>
  </si>
  <si>
    <t>하나로통신</t>
    <phoneticPr fontId="4" type="noConversion"/>
  </si>
  <si>
    <t xml:space="preserve">        "</t>
    <phoneticPr fontId="4" type="noConversion"/>
  </si>
  <si>
    <t>파워콤</t>
    <phoneticPr fontId="4" type="noConversion"/>
  </si>
  <si>
    <t>월드어린이집</t>
    <phoneticPr fontId="4" type="noConversion"/>
  </si>
  <si>
    <t>어린이집 부담</t>
    <phoneticPr fontId="4" type="noConversion"/>
  </si>
  <si>
    <t>테니스장</t>
    <phoneticPr fontId="4" type="noConversion"/>
  </si>
  <si>
    <t>테니스장 부담</t>
    <phoneticPr fontId="4" type="noConversion"/>
  </si>
  <si>
    <t>에어로빅</t>
    <phoneticPr fontId="4" type="noConversion"/>
  </si>
  <si>
    <t>주민자치센터 부담</t>
    <phoneticPr fontId="4" type="noConversion"/>
  </si>
  <si>
    <t>신한은행</t>
    <phoneticPr fontId="4" type="noConversion"/>
  </si>
  <si>
    <t>신한은행 자동화기기 부담</t>
    <phoneticPr fontId="4" type="noConversion"/>
  </si>
  <si>
    <t>파주연천축협</t>
    <phoneticPr fontId="4" type="noConversion"/>
  </si>
  <si>
    <t>파주 연천축협 자동화기기 부담</t>
    <phoneticPr fontId="4" type="noConversion"/>
  </si>
  <si>
    <t>경기케이블</t>
    <phoneticPr fontId="4" type="noConversion"/>
  </si>
  <si>
    <t>모자분리(월정표준 사용요금)</t>
    <phoneticPr fontId="4" type="noConversion"/>
  </si>
  <si>
    <t>합      계</t>
    <phoneticPr fontId="4" type="noConversion"/>
  </si>
  <si>
    <t>4) 공동전기료 (산출내역: 공동전기료 -전기료 카드할인 - 중계기전기료 - 알뜰장 전기료</t>
    <phoneticPr fontId="4" type="noConversion"/>
  </si>
  <si>
    <t xml:space="preserve">가) 산출내역: </t>
    <phoneticPr fontId="4" type="noConversion"/>
  </si>
  <si>
    <t>-</t>
    <phoneticPr fontId="4" type="noConversion"/>
  </si>
  <si>
    <t>=</t>
    <phoneticPr fontId="4" type="noConversion"/>
  </si>
  <si>
    <t>원</t>
    <phoneticPr fontId="4" type="noConversion"/>
  </si>
  <si>
    <t xml:space="preserve">나) ㎡당 단가: </t>
    <phoneticPr fontId="4" type="noConversion"/>
  </si>
  <si>
    <t>÷</t>
    <phoneticPr fontId="4" type="noConversion"/>
  </si>
  <si>
    <t>/</t>
    <phoneticPr fontId="4" type="noConversion"/>
  </si>
  <si>
    <t>다) 면적별 분담내역</t>
    <phoneticPr fontId="4" type="noConversion"/>
  </si>
  <si>
    <t>면    적</t>
    <phoneticPr fontId="4" type="noConversion"/>
  </si>
  <si>
    <t>㎡당 단가</t>
    <phoneticPr fontId="4" type="noConversion"/>
  </si>
  <si>
    <t>세대분담내역</t>
    <phoneticPr fontId="4" type="noConversion"/>
  </si>
  <si>
    <t>세대수</t>
    <phoneticPr fontId="4" type="noConversion"/>
  </si>
  <si>
    <t>분담금액</t>
    <phoneticPr fontId="4" type="noConversion"/>
  </si>
  <si>
    <t>비   고</t>
    <phoneticPr fontId="4" type="noConversion"/>
  </si>
  <si>
    <t>동별</t>
    <phoneticPr fontId="4" type="noConversion"/>
  </si>
  <si>
    <t>라인</t>
    <phoneticPr fontId="4" type="noConversion"/>
  </si>
  <si>
    <t>사용량(KWH)</t>
    <phoneticPr fontId="4" type="noConversion"/>
  </si>
  <si>
    <t>세대부과금액(원)</t>
    <phoneticPr fontId="4" type="noConversion"/>
  </si>
  <si>
    <t>KW당 /</t>
    <phoneticPr fontId="4" type="noConversion"/>
  </si>
  <si>
    <t>1~2</t>
    <phoneticPr fontId="4" type="noConversion"/>
  </si>
  <si>
    <t>3~4</t>
    <phoneticPr fontId="4" type="noConversion"/>
  </si>
  <si>
    <t>5~6</t>
    <phoneticPr fontId="4" type="noConversion"/>
  </si>
  <si>
    <t>7~8</t>
    <phoneticPr fontId="4" type="noConversion"/>
  </si>
  <si>
    <t>201호</t>
    <phoneticPr fontId="4" type="noConversion"/>
  </si>
  <si>
    <t>204호</t>
    <phoneticPr fontId="4" type="noConversion"/>
  </si>
  <si>
    <t>합   계</t>
    <phoneticPr fontId="4" type="noConversion"/>
  </si>
  <si>
    <t>* 전동 1, 2층 세대는 제외(단, 2층은 사용을 원하는 세대에 한하여 사용자가 부담한다. )</t>
    <phoneticPr fontId="4" type="noConversion"/>
  </si>
  <si>
    <t>16. 전  기  료  -----------------------------------------------------------------------</t>
    <phoneticPr fontId="4" type="noConversion"/>
  </si>
  <si>
    <t>수도요금 검토</t>
    <phoneticPr fontId="4" type="noConversion"/>
  </si>
  <si>
    <t>월드어린이집 수도사용량</t>
    <phoneticPr fontId="4" type="noConversion"/>
  </si>
  <si>
    <t>수도유보금</t>
    <phoneticPr fontId="4" type="noConversion"/>
  </si>
  <si>
    <t>구   분</t>
    <phoneticPr fontId="4" type="noConversion"/>
  </si>
  <si>
    <t>동별사용금액</t>
    <phoneticPr fontId="4" type="noConversion"/>
  </si>
  <si>
    <t>감액%</t>
    <phoneticPr fontId="4" type="noConversion"/>
  </si>
  <si>
    <t>유보차액</t>
    <phoneticPr fontId="4" type="noConversion"/>
  </si>
  <si>
    <t>(상수도 금액-동별사용금액)/동별사용금액</t>
    <phoneticPr fontId="4" type="noConversion"/>
  </si>
  <si>
    <t>(하수도 금액-동별상용금액)/돔별사요금액</t>
    <phoneticPr fontId="4" type="noConversion"/>
  </si>
  <si>
    <t>물이용금</t>
    <phoneticPr fontId="4" type="noConversion"/>
  </si>
  <si>
    <t>(물이요금-동별물이용금)/동별물이용금</t>
    <phoneticPr fontId="4" type="noConversion"/>
  </si>
  <si>
    <t>합계</t>
    <phoneticPr fontId="4" type="noConversion"/>
  </si>
  <si>
    <t>외부업체</t>
    <phoneticPr fontId="4" type="noConversion"/>
  </si>
  <si>
    <t>일반용갑 고압A 금액</t>
    <phoneticPr fontId="4" type="noConversion"/>
  </si>
  <si>
    <t>사용량 입력</t>
    <phoneticPr fontId="4" type="noConversion"/>
  </si>
  <si>
    <t>사용량 검토</t>
    <phoneticPr fontId="4" type="noConversion"/>
  </si>
  <si>
    <t>구         분</t>
    <phoneticPr fontId="4" type="noConversion"/>
  </si>
  <si>
    <t>당월지침</t>
    <phoneticPr fontId="4" type="noConversion"/>
  </si>
  <si>
    <t>부과금액(원)</t>
    <phoneticPr fontId="4" type="noConversion"/>
  </si>
  <si>
    <t>주택 고지총액</t>
    <phoneticPr fontId="4" type="noConversion"/>
  </si>
  <si>
    <t>주택용</t>
    <phoneticPr fontId="4" type="noConversion"/>
  </si>
  <si>
    <t>1. 한   국    통   신</t>
    <phoneticPr fontId="4" type="noConversion"/>
  </si>
  <si>
    <t>산업용</t>
    <phoneticPr fontId="4" type="noConversion"/>
  </si>
  <si>
    <t>TV수신료 부과세대</t>
    <phoneticPr fontId="4" type="noConversion"/>
  </si>
  <si>
    <t>가로등</t>
    <phoneticPr fontId="4" type="noConversion"/>
  </si>
  <si>
    <t>일반용갑, 고압A</t>
    <phoneticPr fontId="4" type="noConversion"/>
  </si>
  <si>
    <t>x18</t>
    <phoneticPr fontId="4" type="noConversion"/>
  </si>
  <si>
    <t>산업용 총액</t>
    <phoneticPr fontId="4" type="noConversion"/>
  </si>
  <si>
    <t>x47</t>
    <phoneticPr fontId="4" type="noConversion"/>
  </si>
  <si>
    <t>가로등 총액</t>
    <phoneticPr fontId="4" type="noConversion"/>
  </si>
  <si>
    <t>소            계</t>
    <phoneticPr fontId="4" type="noConversion"/>
  </si>
  <si>
    <t>2. 하  나  로  통 신</t>
    <phoneticPr fontId="4" type="noConversion"/>
  </si>
  <si>
    <t>웨브로 세대사용량</t>
    <phoneticPr fontId="4" type="noConversion"/>
  </si>
  <si>
    <t>웨브로 "전기요금"</t>
    <phoneticPr fontId="4" type="noConversion"/>
  </si>
  <si>
    <t>x44</t>
    <phoneticPr fontId="4" type="noConversion"/>
  </si>
  <si>
    <t>국민카트할인*0.9%</t>
    <phoneticPr fontId="4" type="noConversion"/>
  </si>
  <si>
    <t>3. 신한은행(자동화기기)</t>
    <phoneticPr fontId="4" type="noConversion"/>
  </si>
  <si>
    <t>검  토</t>
    <phoneticPr fontId="4" type="noConversion"/>
  </si>
  <si>
    <t>4. 월 드 어 린 이 집</t>
    <phoneticPr fontId="4" type="noConversion"/>
  </si>
  <si>
    <t>6. 경기 케이블(TV용)</t>
    <phoneticPr fontId="4" type="noConversion"/>
  </si>
  <si>
    <t>모자분리</t>
    <phoneticPr fontId="4" type="noConversion"/>
  </si>
  <si>
    <t>고지서 사용량</t>
    <phoneticPr fontId="4" type="noConversion"/>
  </si>
  <si>
    <t>7. 테   니   스    장</t>
    <phoneticPr fontId="4" type="noConversion"/>
  </si>
  <si>
    <t>유보금+알뜰장 등</t>
    <phoneticPr fontId="4" type="noConversion"/>
  </si>
  <si>
    <t>8. 에어로빅(주민자치센터)</t>
    <phoneticPr fontId="4" type="noConversion"/>
  </si>
  <si>
    <t>9. 파      워        콤</t>
    <phoneticPr fontId="4" type="noConversion"/>
  </si>
  <si>
    <t>바우처 금액</t>
    <phoneticPr fontId="4" type="noConversion"/>
  </si>
  <si>
    <t>11. 파주연천축협(자동화기기)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</si>
  <si>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</si>
  <si>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</si>
  <si>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</si>
  <si>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8월 공동전기료 유보금</t>
    <phoneticPr fontId="4" type="noConversion"/>
  </si>
  <si>
    <t>8월 카드할인</t>
    <phoneticPr fontId="4" type="noConversion"/>
  </si>
  <si>
    <t>8월 중계기 전기료</t>
    <phoneticPr fontId="4" type="noConversion"/>
  </si>
  <si>
    <t>합     계</t>
    <phoneticPr fontId="4" type="noConversion"/>
  </si>
  <si>
    <t>9월 산업 및 가로등</t>
    <phoneticPr fontId="4" type="noConversion"/>
  </si>
  <si>
    <t>10월 유보금</t>
    <phoneticPr fontId="4" type="noConversion"/>
  </si>
  <si>
    <t>감면:33세대</t>
    <phoneticPr fontId="4" type="noConversion"/>
  </si>
  <si>
    <t>16. 9. 7 기준</t>
    <phoneticPr fontId="4" type="noConversion"/>
  </si>
  <si>
    <r>
      <t>의안</t>
    </r>
    <r>
      <rPr>
        <b/>
        <u/>
        <sz val="15"/>
        <color rgb="FF000000"/>
        <rFont val="HY견고딕"/>
        <family val="1"/>
        <charset val="129"/>
      </rPr>
      <t>1. 2016</t>
    </r>
    <r>
      <rPr>
        <b/>
        <u/>
        <sz val="15"/>
        <color rgb="FF000000"/>
        <rFont val="돋움"/>
        <family val="3"/>
        <charset val="129"/>
      </rPr>
      <t>년</t>
    </r>
    <r>
      <rPr>
        <b/>
        <u/>
        <sz val="15"/>
        <color rgb="FF000000"/>
        <rFont val="HY견고딕"/>
        <family val="1"/>
        <charset val="129"/>
      </rPr>
      <t xml:space="preserve"> 8</t>
    </r>
    <r>
      <rPr>
        <b/>
        <u/>
        <sz val="15"/>
        <color rgb="FF000000"/>
        <rFont val="돋움"/>
        <family val="3"/>
        <charset val="129"/>
      </rPr>
      <t>월분</t>
    </r>
    <r>
      <rPr>
        <b/>
        <u/>
        <sz val="15"/>
        <color rgb="FF000000"/>
        <rFont val="HY견고딕"/>
        <family val="1"/>
        <charset val="129"/>
      </rPr>
      <t>(2016년 9</t>
    </r>
    <r>
      <rPr>
        <b/>
        <u/>
        <sz val="15"/>
        <color rgb="FF000000"/>
        <rFont val="돋움"/>
        <family val="3"/>
        <charset val="129"/>
      </rPr>
      <t>월 고지</t>
    </r>
    <r>
      <rPr>
        <b/>
        <u/>
        <sz val="15"/>
        <color rgb="FF000000"/>
        <rFont val="HY견고딕"/>
        <family val="1"/>
        <charset val="129"/>
      </rPr>
      <t xml:space="preserve">) </t>
    </r>
    <r>
      <rPr>
        <b/>
        <u/>
        <sz val="15"/>
        <color rgb="FF000000"/>
        <rFont val="돋움"/>
        <family val="3"/>
        <charset val="129"/>
      </rPr>
      <t>부과내역서 심의 건</t>
    </r>
    <phoneticPr fontId="4" type="noConversion"/>
  </si>
  <si>
    <t xml:space="preserve">     2016. 8월분 관리비를 입주자 대표회의의 심의 결정을 받고자 제안함</t>
    <phoneticPr fontId="4" type="noConversion"/>
  </si>
  <si>
    <r>
      <t xml:space="preserve">1) </t>
    </r>
    <r>
      <rPr>
        <b/>
        <sz val="12.5"/>
        <color rgb="FF000000"/>
        <rFont val="돋움"/>
        <family val="3"/>
        <charset val="129"/>
      </rPr>
      <t xml:space="preserve">의결주문 </t>
    </r>
    <r>
      <rPr>
        <b/>
        <sz val="12.5"/>
        <color rgb="FF000000"/>
        <rFont val="새굴림"/>
        <family val="1"/>
        <charset val="129"/>
      </rPr>
      <t>:</t>
    </r>
    <r>
      <rPr>
        <sz val="12.5"/>
        <color rgb="FF000000"/>
        <rFont val="새굴림"/>
        <family val="1"/>
        <charset val="129"/>
      </rPr>
      <t xml:space="preserve"> 2016</t>
    </r>
    <r>
      <rPr>
        <sz val="12.5"/>
        <color rgb="FF000000"/>
        <rFont val="돋움"/>
        <family val="3"/>
        <charset val="129"/>
      </rPr>
      <t>년 8월분</t>
    </r>
    <r>
      <rPr>
        <sz val="12.5"/>
        <color rgb="FF000000"/>
        <rFont val="새굴림"/>
        <family val="1"/>
        <charset val="129"/>
      </rPr>
      <t>(9</t>
    </r>
    <r>
      <rPr>
        <sz val="12.5"/>
        <color rgb="FF000000"/>
        <rFont val="돋움"/>
        <family val="3"/>
        <charset val="129"/>
      </rPr>
      <t>월고지</t>
    </r>
    <r>
      <rPr>
        <sz val="12.5"/>
        <color rgb="FF000000"/>
        <rFont val="새굴림"/>
        <family val="1"/>
        <charset val="129"/>
      </rPr>
      <t xml:space="preserve">) </t>
    </r>
    <r>
      <rPr>
        <sz val="12.5"/>
        <color rgb="FF000000"/>
        <rFont val="돋움"/>
        <family val="3"/>
        <charset val="129"/>
      </rPr>
      <t>관리비 부과내역서 의결을 주문함</t>
    </r>
    <phoneticPr fontId="4" type="noConversion"/>
  </si>
  <si>
    <r>
      <t xml:space="preserve">3) </t>
    </r>
    <r>
      <rPr>
        <b/>
        <sz val="12.5"/>
        <color rgb="FF000000"/>
        <rFont val="돋움"/>
        <family val="3"/>
        <charset val="129"/>
      </rPr>
      <t xml:space="preserve">주요내용 </t>
    </r>
    <r>
      <rPr>
        <b/>
        <sz val="12.5"/>
        <color rgb="FF000000"/>
        <rFont val="새굴림"/>
        <family val="1"/>
        <charset val="129"/>
      </rPr>
      <t>(8</t>
    </r>
    <r>
      <rPr>
        <b/>
        <sz val="12.5"/>
        <color rgb="FF000000"/>
        <rFont val="돋움"/>
        <family val="3"/>
        <charset val="129"/>
      </rPr>
      <t>월분 관리비 부과금액</t>
    </r>
    <r>
      <rPr>
        <b/>
        <sz val="12.5"/>
        <color rgb="FF000000"/>
        <rFont val="새굴림"/>
        <family val="1"/>
        <charset val="129"/>
      </rPr>
      <t>)</t>
    </r>
    <phoneticPr fontId="4" type="noConversion"/>
  </si>
  <si>
    <t>예비비적립금</t>
    <phoneticPr fontId="4" type="noConversion"/>
  </si>
  <si>
    <t>▶ 도시가스 사용료(관리동, 노인정, 관제실)</t>
    <phoneticPr fontId="4" type="noConversion"/>
  </si>
  <si>
    <t>▶ 2016년 하반기 시설물안전교육비</t>
    <phoneticPr fontId="4" type="noConversion"/>
  </si>
  <si>
    <t>▶ 자동제세동기,수목엔진톱등</t>
    <phoneticPr fontId="4" type="noConversion"/>
  </si>
  <si>
    <t>▶ 손님접대용 커피, 정수기임대료등</t>
    <phoneticPr fontId="4" type="noConversion"/>
  </si>
  <si>
    <t>6개월분할부과(3/6)</t>
    <phoneticPr fontId="4" type="noConversion"/>
  </si>
  <si>
    <t>5개월분할부과(2/3)</t>
    <phoneticPr fontId="4" type="noConversion"/>
  </si>
  <si>
    <t>12개월분할부과(9/12)</t>
    <phoneticPr fontId="4" type="noConversion"/>
  </si>
  <si>
    <t>놀이터정기검사(2년1회)</t>
    <phoneticPr fontId="4" type="noConversion"/>
  </si>
  <si>
    <t>207동1~2라인,210-5~6라인,현관자동문밸트구입</t>
    <phoneticPr fontId="4" type="noConversion"/>
  </si>
  <si>
    <t>관리실 관리기구표 제작비</t>
    <phoneticPr fontId="4" type="noConversion"/>
  </si>
  <si>
    <t>218동3~4라인 로비폰교체비</t>
    <phoneticPr fontId="4" type="noConversion"/>
  </si>
  <si>
    <t>지하저수조 급수용 메인배관 용접보수비</t>
    <phoneticPr fontId="4" type="noConversion"/>
  </si>
  <si>
    <t>단지내 수목 전지가지 외부 반출처리비</t>
    <phoneticPr fontId="4" type="noConversion"/>
  </si>
  <si>
    <t>205동1~2라인,209동1~2라인 승강기 노후부품교체비</t>
    <phoneticPr fontId="4" type="noConversion"/>
  </si>
  <si>
    <t>단지내 흙내림 방지용 잡석구입비</t>
    <phoneticPr fontId="4" type="noConversion"/>
  </si>
  <si>
    <t>제초작업시 유류대</t>
    <phoneticPr fontId="4" type="noConversion"/>
  </si>
  <si>
    <t>회계감사비</t>
    <phoneticPr fontId="4" type="noConversion"/>
  </si>
  <si>
    <r>
      <t>&lt;</t>
    </r>
    <r>
      <rPr>
        <sz val="18"/>
        <rFont val="궁서체"/>
        <family val="1"/>
        <charset val="129"/>
      </rPr>
      <t>2016년 9월분</t>
    </r>
    <r>
      <rPr>
        <b/>
        <sz val="20"/>
        <rFont val="궁서체"/>
        <family val="1"/>
        <charset val="129"/>
      </rPr>
      <t>&gt;</t>
    </r>
    <phoneticPr fontId="4" type="noConversion"/>
  </si>
  <si>
    <t>1년초과</t>
    <phoneticPr fontId="4" type="noConversion"/>
  </si>
  <si>
    <t>일부 동에 주차 공간이 부족하여 도로와 통로등에 주차하여 사고의 위험 및 소방차, 재활용 쓰레기</t>
    <phoneticPr fontId="4" type="noConversion"/>
  </si>
  <si>
    <r>
      <t>2.도시가스요금 할인 신청:기초생활수급자 대한 도시가스요금 경감 -</t>
    </r>
    <r>
      <rPr>
        <sz val="8"/>
        <rFont val="굴림체"/>
        <family val="3"/>
        <charset val="129"/>
      </rPr>
      <t>신청접수처:서울도시가스 경기1고객센터 문의 031-946-7229</t>
    </r>
    <phoneticPr fontId="4" type="noConversion"/>
  </si>
  <si>
    <t xml:space="preserve">4.장애인은 전기,수도감면 신청, 대가족(5인이상 또는 자녀3명이상)은 전기료할인 신청하여 감면 받으십시오.  </t>
    <phoneticPr fontId="4" type="noConversion"/>
  </si>
  <si>
    <r>
      <t>3.수도료 감면신청:기초생활수급자, 장애등금1-3급까지의 등록장애인─</t>
    </r>
    <r>
      <rPr>
        <sz val="8"/>
        <rFont val="굴림체"/>
        <family val="3"/>
        <charset val="129"/>
      </rPr>
      <t>관리사무소에 오셔서 신청, 문의:수도요금팀(940-5882,5888)</t>
    </r>
    <phoneticPr fontId="4" type="noConversion"/>
  </si>
  <si>
    <t>일</t>
    <phoneticPr fontId="4" type="noConversion"/>
  </si>
  <si>
    <t>잉 여 금
(누계)</t>
    <phoneticPr fontId="4" type="noConversion"/>
  </si>
  <si>
    <t>(누계)</t>
    <phoneticPr fontId="4" type="noConversion"/>
  </si>
  <si>
    <t>보육시설</t>
    <phoneticPr fontId="4" type="noConversion"/>
  </si>
  <si>
    <t>주차장, 계단, 관리동, 경비실, 기전실, 기타 공용부 외</t>
    <phoneticPr fontId="4" type="noConversion"/>
  </si>
  <si>
    <t>산 출  기 간 : 2016년 9월 1일 ~ 2016년 9월 30일까지</t>
    <phoneticPr fontId="4" type="noConversion"/>
  </si>
  <si>
    <t>납 부 기 간 : 2016년  10월 31일(월요일)</t>
    <phoneticPr fontId="4" type="noConversion"/>
  </si>
  <si>
    <t>34 톤</t>
    <phoneticPr fontId="4" type="noConversion"/>
  </si>
  <si>
    <t>광고료및재활용매각수입</t>
    <phoneticPr fontId="4" type="noConversion"/>
  </si>
  <si>
    <t>201-705</t>
    <phoneticPr fontId="4" type="noConversion"/>
  </si>
  <si>
    <t>202-202</t>
    <phoneticPr fontId="4" type="noConversion"/>
  </si>
  <si>
    <t>202-604</t>
    <phoneticPr fontId="4" type="noConversion"/>
  </si>
  <si>
    <t>206-803</t>
    <phoneticPr fontId="4" type="noConversion"/>
  </si>
  <si>
    <t>209-505</t>
    <phoneticPr fontId="4" type="noConversion"/>
  </si>
  <si>
    <t>209-805</t>
    <phoneticPr fontId="4" type="noConversion"/>
  </si>
  <si>
    <t>211-902</t>
    <phoneticPr fontId="4" type="noConversion"/>
  </si>
  <si>
    <t>213-1704</t>
    <phoneticPr fontId="4" type="noConversion"/>
  </si>
  <si>
    <t>215-205</t>
    <phoneticPr fontId="4" type="noConversion"/>
  </si>
  <si>
    <t>216-104</t>
    <phoneticPr fontId="4" type="noConversion"/>
  </si>
  <si>
    <t>기간 : 2016년 09월 1일 ~2016년 09월 30일</t>
    <phoneticPr fontId="4" type="noConversion"/>
  </si>
  <si>
    <t>9월</t>
    <phoneticPr fontId="4" type="noConversion"/>
  </si>
  <si>
    <t>1일</t>
    <phoneticPr fontId="4" type="noConversion"/>
  </si>
  <si>
    <t>8월분 재활용수입</t>
    <phoneticPr fontId="4" type="noConversion"/>
  </si>
  <si>
    <t>동진자원</t>
    <phoneticPr fontId="4" type="noConversion"/>
  </si>
  <si>
    <t>6일</t>
    <phoneticPr fontId="4" type="noConversion"/>
  </si>
  <si>
    <t>20일</t>
    <phoneticPr fontId="4" type="noConversion"/>
  </si>
  <si>
    <t>태산씽크</t>
    <phoneticPr fontId="4" type="noConversion"/>
  </si>
  <si>
    <t>한솔수학</t>
    <phoneticPr fontId="4" type="noConversion"/>
  </si>
  <si>
    <t>반석영어과외</t>
    <phoneticPr fontId="4" type="noConversion"/>
  </si>
  <si>
    <t>LED 조명</t>
    <phoneticPr fontId="4" type="noConversion"/>
  </si>
  <si>
    <t>웨이브홀딩스</t>
    <phoneticPr fontId="4" type="noConversion"/>
  </si>
  <si>
    <t>늘푸른나무센터</t>
    <phoneticPr fontId="4" type="noConversion"/>
  </si>
  <si>
    <t>해법공부방</t>
    <phoneticPr fontId="4" type="noConversion"/>
  </si>
  <si>
    <t>한마음공부방</t>
    <phoneticPr fontId="4" type="noConversion"/>
  </si>
  <si>
    <t>브레인피아노</t>
    <phoneticPr fontId="4" type="noConversion"/>
  </si>
  <si>
    <t>206-1303</t>
    <phoneticPr fontId="4" type="noConversion"/>
  </si>
  <si>
    <t>217-1403</t>
    <phoneticPr fontId="4" type="noConversion"/>
  </si>
  <si>
    <t>209-306</t>
    <phoneticPr fontId="4" type="noConversion"/>
  </si>
  <si>
    <t>209-1206</t>
    <phoneticPr fontId="4" type="noConversion"/>
  </si>
  <si>
    <t>9월분 관제실 지원금</t>
    <phoneticPr fontId="4" type="noConversion"/>
  </si>
  <si>
    <t>9월분 노인정 지원금</t>
    <phoneticPr fontId="4" type="noConversion"/>
  </si>
  <si>
    <t>8월분 재활용 지원금</t>
    <phoneticPr fontId="4" type="noConversion"/>
  </si>
  <si>
    <t>규격봉투구입(마대 외)</t>
    <phoneticPr fontId="4" type="noConversion"/>
  </si>
  <si>
    <t>좋은서비스(16. 6. 1 ~ 17. 5.31)</t>
    <phoneticPr fontId="4" type="noConversion"/>
  </si>
  <si>
    <t>211동 1~2라인 승강기 노후부품교체비</t>
    <phoneticPr fontId="4" type="noConversion"/>
  </si>
  <si>
    <t>3개월분할부과(3/3)</t>
    <phoneticPr fontId="4" type="noConversion"/>
  </si>
  <si>
    <t>* 15년 1월부터정부시책에 의해 전용면적 135㎡초과(57평,67평) 공동주택의 일반관리비에 대하여 부가가치세가 과세됩니다.</t>
    <phoneticPr fontId="4" type="noConversion"/>
  </si>
  <si>
    <t>* 15년 1월부터정부시책에 의해 전용면적 135㎡초과(57평,67평) 공동주택의 경비용역비에 대하여 부가가치세가 과세됩니다.</t>
    <phoneticPr fontId="4" type="noConversion"/>
  </si>
  <si>
    <t>* 15년 1월부터정부시책에 의해 전용면적 135㎡초과(57평,67평) 공동주택의 청소용역비에 대하여 부가가치세가 과세됩니다.</t>
    <phoneticPr fontId="4" type="noConversion"/>
  </si>
  <si>
    <t>▶ 자격수당, 야간근무수당, 직책수당, 근속수당외-신규 방화수당포함</t>
    <phoneticPr fontId="4" type="noConversion"/>
  </si>
  <si>
    <t>1. 일 반 관 리 비 - 전월비교표</t>
    <phoneticPr fontId="4" type="noConversion"/>
  </si>
  <si>
    <t xml:space="preserve"> </t>
    <phoneticPr fontId="4" type="noConversion"/>
  </si>
  <si>
    <t>항       목</t>
    <phoneticPr fontId="4" type="noConversion"/>
  </si>
  <si>
    <t>8월분</t>
    <phoneticPr fontId="4" type="noConversion"/>
  </si>
  <si>
    <t>9월분</t>
    <phoneticPr fontId="4" type="noConversion"/>
  </si>
  <si>
    <t>차감</t>
    <phoneticPr fontId="4" type="noConversion"/>
  </si>
  <si>
    <t>차액</t>
    <phoneticPr fontId="4" type="noConversion"/>
  </si>
  <si>
    <t>인건비</t>
    <phoneticPr fontId="4" type="noConversion"/>
  </si>
  <si>
    <t>급        여</t>
    <phoneticPr fontId="4" type="noConversion"/>
  </si>
  <si>
    <t>제  수   당</t>
    <phoneticPr fontId="4" type="noConversion"/>
  </si>
  <si>
    <t>변동없음</t>
    <phoneticPr fontId="4" type="noConversion"/>
  </si>
  <si>
    <t>국민연금</t>
    <phoneticPr fontId="4" type="noConversion"/>
  </si>
  <si>
    <t>건강보험</t>
    <phoneticPr fontId="4" type="noConversion"/>
  </si>
  <si>
    <t xml:space="preserve">산재 . 고용 </t>
    <phoneticPr fontId="4" type="noConversion"/>
  </si>
  <si>
    <t>계</t>
    <phoneticPr fontId="4" type="noConversion"/>
  </si>
  <si>
    <t>여 비 교 통 비</t>
    <phoneticPr fontId="4" type="noConversion"/>
  </si>
  <si>
    <t>통     신     비</t>
    <phoneticPr fontId="4" type="noConversion"/>
  </si>
  <si>
    <t>전화요금 증가</t>
    <phoneticPr fontId="4" type="noConversion"/>
  </si>
  <si>
    <t>우     편     료</t>
    <phoneticPr fontId="4" type="noConversion"/>
  </si>
  <si>
    <t>체납세대 내용증명발송 감소</t>
    <phoneticPr fontId="4" type="noConversion"/>
  </si>
  <si>
    <t>도 서 인 쇄 비</t>
    <phoneticPr fontId="4" type="noConversion"/>
  </si>
  <si>
    <t>인쇄물등 증가</t>
    <phoneticPr fontId="4" type="noConversion"/>
  </si>
  <si>
    <t>교육훈련비</t>
    <phoneticPr fontId="4" type="noConversion"/>
  </si>
  <si>
    <t>교육비 감소</t>
    <phoneticPr fontId="4" type="noConversion"/>
  </si>
  <si>
    <t>사무용품비,관리용품소모품비</t>
    <phoneticPr fontId="4" type="noConversion"/>
  </si>
  <si>
    <t>사무용품구입 감소</t>
    <phoneticPr fontId="4" type="noConversion"/>
  </si>
  <si>
    <t>제 세 공 과 금</t>
    <phoneticPr fontId="4" type="noConversion"/>
  </si>
  <si>
    <t>도시가스요금 감소</t>
    <phoneticPr fontId="4" type="noConversion"/>
  </si>
  <si>
    <t>잡            비</t>
    <phoneticPr fontId="4" type="noConversion"/>
  </si>
  <si>
    <t>직원 작업시 간식대및 커피및 차구입 감소</t>
    <phoneticPr fontId="4" type="noConversion"/>
  </si>
  <si>
    <t>피복비</t>
    <phoneticPr fontId="4" type="noConversion"/>
  </si>
  <si>
    <t>피복비 마지막 부과시 10원 끝전 처리</t>
    <phoneticPr fontId="4" type="noConversion"/>
  </si>
  <si>
    <t>감 가 상 각 비</t>
    <phoneticPr fontId="4" type="noConversion"/>
  </si>
  <si>
    <t>회계감사비</t>
    <phoneticPr fontId="4" type="noConversion"/>
  </si>
  <si>
    <t>2015년도 외부회계감사비 발생</t>
    <phoneticPr fontId="4" type="noConversion"/>
  </si>
  <si>
    <t>합             계</t>
    <phoneticPr fontId="4" type="noConversion"/>
  </si>
  <si>
    <t>해솔마을2단지월드메르디앙아파트</t>
    <phoneticPr fontId="4" type="noConversion"/>
  </si>
  <si>
    <t>복리후생비</t>
    <phoneticPr fontId="4" type="noConversion"/>
  </si>
  <si>
    <t>교통비 감소 (은행,우체국,자재구입등)</t>
    <phoneticPr fontId="4" type="noConversion"/>
  </si>
  <si>
    <t>변동없음</t>
    <phoneticPr fontId="4" type="noConversion"/>
  </si>
  <si>
    <t>▶ 직원급여(관리소장 외 8명)</t>
    <phoneticPr fontId="4" type="noConversion"/>
  </si>
  <si>
    <t>직원변동차이</t>
    <phoneticPr fontId="4" type="noConversion"/>
  </si>
  <si>
    <t>▶ 자격수당, 야간근무수당, 직책수당, 근속수당외</t>
    <phoneticPr fontId="4" type="noConversion"/>
  </si>
  <si>
    <t>야간및휴무수당
근무차이</t>
    <phoneticPr fontId="4" type="noConversion"/>
  </si>
  <si>
    <t>▶( 평균임금+연차)*3/92*30/12</t>
    <phoneticPr fontId="4" type="noConversion"/>
  </si>
  <si>
    <t>▶ 식대 보조비,직원하계휴가비,
야간근로자 특수건강검진비</t>
    <phoneticPr fontId="4" type="noConversion"/>
  </si>
  <si>
    <t>복리후생증가차이</t>
    <phoneticPr fontId="4" type="noConversion"/>
  </si>
  <si>
    <t>▶ 주민 부담분(급여*4.5%)</t>
    <phoneticPr fontId="4" type="noConversion"/>
  </si>
  <si>
    <t xml:space="preserve">▶ 주민 부담분(급여*3.035%)+장기요양보험료(건강보험료*6.55%) </t>
    <phoneticPr fontId="4" type="noConversion"/>
  </si>
  <si>
    <t>▶ 산재·고용보험료</t>
    <phoneticPr fontId="4" type="noConversion"/>
  </si>
  <si>
    <t>직원 고용보험차이</t>
    <phoneticPr fontId="4" type="noConversion"/>
  </si>
  <si>
    <t>산출내역</t>
    <phoneticPr fontId="4" type="noConversion"/>
  </si>
  <si>
    <t>2016. 09.01 ~ 2016. 09. 30 기준</t>
    <phoneticPr fontId="4" type="noConversion"/>
  </si>
  <si>
    <t xml:space="preserve">관 리 비 부 과 총 괄 표   </t>
    <phoneticPr fontId="4" type="noConversion"/>
  </si>
  <si>
    <t>※ 관리비부과차액 - 2016년 09월분</t>
    <phoneticPr fontId="4" type="noConversion"/>
  </si>
  <si>
    <t>퇴직충당적립금</t>
    <phoneticPr fontId="4" type="noConversion"/>
  </si>
  <si>
    <t>식대등복리후생비</t>
    <phoneticPr fontId="4" type="noConversion"/>
  </si>
</sst>
</file>

<file path=xl/styles.xml><?xml version="1.0" encoding="utf-8"?>
<styleSheet xmlns="http://schemas.openxmlformats.org/spreadsheetml/2006/main">
  <numFmts count="4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##0&quot;세대&quot;"/>
    <numFmt numFmtId="191" formatCode="0.00_);[Red]\(0.00\)"/>
    <numFmt numFmtId="192" formatCode="##,#0#&quot;원&quot;\ \ \ \ "/>
    <numFmt numFmtId="193" formatCode="##,###.##"/>
    <numFmt numFmtId="194" formatCode="#,##0.00_ "/>
    <numFmt numFmtId="195" formatCode="&quot;÷&quot;\ ##,###.00\ &quot;평&quot;"/>
    <numFmt numFmtId="196" formatCode="##,###,###&quot;원&quot;"/>
    <numFmt numFmtId="197" formatCode="#&quot;월&quot;&quot;분&quot;"/>
    <numFmt numFmtId="198" formatCode="_-* #,##0_-;\-* #,##0_-;_-* &quot;-&quot;??_-;_-@_-"/>
    <numFmt numFmtId="199" formatCode="&quot;₩&quot;#,###&quot;원&quot;"/>
    <numFmt numFmtId="200" formatCode="#,##0\ &quot;톤&quot;"/>
    <numFmt numFmtId="201" formatCode="#,##0\ &quot;원&quot;"/>
    <numFmt numFmtId="202" formatCode="#,##0.0\ &quot;㎡&quot;"/>
    <numFmt numFmtId="203" formatCode="#,###.00\ &quot;㎡&quot;"/>
    <numFmt numFmtId="204" formatCode="0.00_ "/>
    <numFmt numFmtId="205" formatCode="0.000%"/>
    <numFmt numFmtId="206" formatCode="&quot;₩&quot;#,##0"/>
    <numFmt numFmtId="207" formatCode="_-* #,##0.0000_-;\-* #,##0.0000_-;_-* &quot;-&quot;_-;_-@_-"/>
    <numFmt numFmtId="208" formatCode="_-* #,##0.0_-;\-* #,##0.0_-;_-* &quot;-&quot;_-;_-@_-"/>
    <numFmt numFmtId="209" formatCode="0.0000%"/>
    <numFmt numFmtId="210" formatCode="0.00000%"/>
    <numFmt numFmtId="211" formatCode="##,#0#&quot;일&quot;"/>
    <numFmt numFmtId="212" formatCode="0.00;__xd905_"/>
    <numFmt numFmtId="213" formatCode="mm&quot;월&quot;\ dd&quot;일&quot;"/>
  </numFmts>
  <fonts count="15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8"/>
      <name val="궁서체"/>
      <family val="1"/>
      <charset val="129"/>
    </font>
    <font>
      <b/>
      <sz val="20"/>
      <name val="궁서체"/>
      <family val="1"/>
      <charset val="129"/>
    </font>
    <font>
      <sz val="24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b/>
      <sz val="18"/>
      <name val="굴림체"/>
      <family val="3"/>
      <charset val="129"/>
    </font>
    <font>
      <sz val="11"/>
      <color indexed="9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i/>
      <sz val="16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2"/>
      <name val="궁서체"/>
      <family val="1"/>
      <charset val="129"/>
    </font>
    <font>
      <b/>
      <sz val="14"/>
      <name val="굴림체"/>
      <family val="3"/>
      <charset val="129"/>
    </font>
    <font>
      <b/>
      <sz val="12"/>
      <name val="굴림"/>
      <family val="3"/>
      <charset val="129"/>
    </font>
    <font>
      <b/>
      <sz val="15"/>
      <color indexed="8"/>
      <name val="굴림체"/>
      <family val="3"/>
      <charset val="129"/>
    </font>
    <font>
      <b/>
      <sz val="14"/>
      <name val="굴림"/>
      <family val="3"/>
      <charset val="129"/>
    </font>
    <font>
      <b/>
      <sz val="15"/>
      <name val="굴림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1"/>
      <name val="굴림체"/>
      <family val="3"/>
      <charset val="129"/>
    </font>
    <font>
      <sz val="7"/>
      <name val="굴림"/>
      <family val="3"/>
      <charset val="129"/>
    </font>
    <font>
      <sz val="11"/>
      <color indexed="9"/>
      <name val="굴림"/>
      <family val="3"/>
      <charset val="129"/>
    </font>
    <font>
      <u/>
      <sz val="10"/>
      <name val="굴림"/>
      <family val="3"/>
      <charset val="129"/>
    </font>
    <font>
      <b/>
      <u/>
      <sz val="11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u/>
      <sz val="11"/>
      <name val="굴림"/>
      <family val="3"/>
      <charset val="129"/>
    </font>
    <font>
      <b/>
      <sz val="11"/>
      <name val="굴림체"/>
      <family val="3"/>
      <charset val="129"/>
    </font>
    <font>
      <u/>
      <sz val="11"/>
      <color indexed="8"/>
      <name val="굴림체"/>
      <family val="3"/>
      <charset val="129"/>
    </font>
    <font>
      <b/>
      <u/>
      <sz val="11"/>
      <color indexed="8"/>
      <name val="굴림체"/>
      <family val="3"/>
      <charset val="129"/>
    </font>
    <font>
      <b/>
      <u/>
      <sz val="12"/>
      <name val="돋움"/>
      <family val="3"/>
      <charset val="129"/>
    </font>
    <font>
      <sz val="11"/>
      <name val="HY수평선B"/>
      <family val="1"/>
      <charset val="129"/>
    </font>
    <font>
      <sz val="11"/>
      <color theme="1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13"/>
      <name val="굴림체"/>
      <family val="3"/>
      <charset val="129"/>
    </font>
    <font>
      <sz val="6"/>
      <name val="굴림"/>
      <family val="3"/>
      <charset val="129"/>
    </font>
    <font>
      <b/>
      <u/>
      <sz val="15"/>
      <color rgb="FF000000"/>
      <name val="돋움"/>
      <family val="3"/>
      <charset val="129"/>
    </font>
    <font>
      <b/>
      <u/>
      <sz val="15"/>
      <color rgb="FF000000"/>
      <name val="HY견고딕"/>
      <family val="1"/>
      <charset val="129"/>
    </font>
    <font>
      <sz val="12.5"/>
      <color rgb="FF000000"/>
      <name val="돋움"/>
      <family val="3"/>
      <charset val="129"/>
    </font>
    <font>
      <sz val="12.5"/>
      <color rgb="FF000000"/>
      <name val="새굴림"/>
      <family val="1"/>
      <charset val="129"/>
    </font>
    <font>
      <b/>
      <sz val="12.5"/>
      <color rgb="FF000000"/>
      <name val="새굴림"/>
      <family val="1"/>
      <charset val="129"/>
    </font>
    <font>
      <b/>
      <sz val="12.5"/>
      <color rgb="FF000000"/>
      <name val="돋움"/>
      <family val="3"/>
      <charset val="129"/>
    </font>
    <font>
      <b/>
      <sz val="14"/>
      <name val="HY울릉도M"/>
      <family val="1"/>
      <charset val="129"/>
    </font>
    <font>
      <sz val="10.5"/>
      <color rgb="FF000000"/>
      <name val="한컴바탕"/>
      <family val="1"/>
      <charset val="129"/>
    </font>
    <font>
      <b/>
      <sz val="10.5"/>
      <name val="굴림"/>
      <family val="3"/>
      <charset val="129"/>
    </font>
    <font>
      <sz val="10.5"/>
      <name val="굴림"/>
      <family val="3"/>
      <charset val="129"/>
    </font>
    <font>
      <sz val="12"/>
      <color rgb="FF000000"/>
      <name val="새굴림"/>
      <family val="1"/>
      <charset val="129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b/>
      <u/>
      <sz val="18"/>
      <name val="맑은 고딕"/>
      <family val="3"/>
      <charset val="129"/>
      <scheme val="minor"/>
    </font>
    <font>
      <b/>
      <u/>
      <sz val="24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.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sz val="10"/>
      <color indexed="9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9"/>
      <color indexed="9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8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1"/>
      <color theme="0" tint="-0.34998626667073579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.5"/>
      <name val="맑은 고딕"/>
      <family val="3"/>
      <charset val="129"/>
    </font>
    <font>
      <b/>
      <sz val="6"/>
      <name val="굴림"/>
      <family val="3"/>
      <charset val="129"/>
    </font>
    <font>
      <sz val="10"/>
      <color theme="1"/>
      <name val="굴림"/>
      <family val="3"/>
      <charset val="129"/>
    </font>
    <font>
      <sz val="5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4"/>
      <name val="HY수평선B"/>
      <family val="1"/>
      <charset val="129"/>
    </font>
    <font>
      <b/>
      <sz val="11"/>
      <color rgb="FFFF0000"/>
      <name val="맑은 고딕"/>
      <family val="3"/>
      <charset val="129"/>
      <scheme val="major"/>
    </font>
    <font>
      <sz val="11"/>
      <color theme="0" tint="-4.9989318521683403E-2"/>
      <name val="맑은 고딕"/>
      <family val="3"/>
      <charset val="129"/>
      <scheme val="minor"/>
    </font>
    <font>
      <sz val="11"/>
      <color theme="0" tint="-4.9989318521683403E-2"/>
      <name val="맑은 고딕"/>
      <family val="3"/>
      <charset val="129"/>
    </font>
    <font>
      <b/>
      <sz val="11"/>
      <color theme="0" tint="-4.9989318521683403E-2"/>
      <name val="맑은 고딕"/>
      <family val="3"/>
      <charset val="129"/>
      <scheme val="minor"/>
    </font>
    <font>
      <sz val="10"/>
      <color theme="0" tint="-4.9989318521683403E-2"/>
      <name val="맑은 고딕"/>
      <family val="3"/>
      <charset val="129"/>
      <scheme val="minor"/>
    </font>
    <font>
      <sz val="9"/>
      <color theme="0" tint="-4.9989318521683403E-2"/>
      <name val="맑은 고딕"/>
      <family val="3"/>
      <charset val="129"/>
      <scheme val="minor"/>
    </font>
    <font>
      <b/>
      <sz val="10"/>
      <color theme="0" tint="-4.9989318521683403E-2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</font>
    <font>
      <sz val="11"/>
      <color theme="0"/>
      <name val="굴림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8"/>
      <color theme="0"/>
      <name val="굴림"/>
      <family val="3"/>
      <charset val="129"/>
    </font>
    <font>
      <b/>
      <sz val="11"/>
      <color theme="0"/>
      <name val="굴림"/>
      <family val="3"/>
      <charset val="129"/>
    </font>
    <font>
      <sz val="10"/>
      <color theme="0"/>
      <name val="굴림"/>
      <family val="3"/>
      <charset val="129"/>
    </font>
    <font>
      <sz val="10"/>
      <color theme="0"/>
      <name val="맑은 고딕"/>
      <family val="3"/>
      <charset val="129"/>
      <scheme val="minor"/>
    </font>
    <font>
      <b/>
      <sz val="8"/>
      <color theme="0"/>
      <name val="굴림"/>
      <family val="3"/>
      <charset val="129"/>
    </font>
    <font>
      <b/>
      <sz val="10"/>
      <color theme="0"/>
      <name val="돋움"/>
      <family val="3"/>
      <charset val="129"/>
    </font>
    <font>
      <sz val="11"/>
      <color theme="0"/>
      <name val="돋움"/>
      <family val="3"/>
      <charset val="129"/>
    </font>
    <font>
      <b/>
      <sz val="6"/>
      <color theme="0"/>
      <name val="굴림"/>
      <family val="3"/>
      <charset val="129"/>
    </font>
    <font>
      <sz val="9"/>
      <name val="굴림체"/>
      <family val="3"/>
      <charset val="129"/>
    </font>
    <font>
      <sz val="8"/>
      <name val="굴림체"/>
      <family val="3"/>
      <charset val="129"/>
    </font>
    <font>
      <b/>
      <u/>
      <sz val="13"/>
      <color indexed="8"/>
      <name val="HY수평선B"/>
      <family val="1"/>
      <charset val="129"/>
    </font>
    <font>
      <sz val="15"/>
      <name val="굴림"/>
      <family val="3"/>
      <charset val="129"/>
    </font>
    <font>
      <b/>
      <u/>
      <sz val="15"/>
      <color indexed="8"/>
      <name val="굴림체"/>
      <family val="3"/>
      <charset val="129"/>
    </font>
    <font>
      <u/>
      <sz val="13"/>
      <color indexed="8"/>
      <name val="HY수평선B"/>
      <family val="1"/>
      <charset val="129"/>
    </font>
    <font>
      <b/>
      <u/>
      <sz val="14"/>
      <color indexed="8"/>
      <name val="HY수평선B"/>
      <family val="1"/>
      <charset val="129"/>
    </font>
    <font>
      <b/>
      <sz val="15"/>
      <name val="HY수평선B"/>
      <family val="1"/>
      <charset val="129"/>
    </font>
    <font>
      <b/>
      <sz val="11"/>
      <name val="돋움"/>
      <family val="3"/>
      <charset val="129"/>
    </font>
    <font>
      <u/>
      <sz val="11"/>
      <name val="굴림"/>
      <family val="3"/>
      <charset val="129"/>
    </font>
    <font>
      <sz val="12"/>
      <name val="돋움"/>
      <family val="3"/>
      <charset val="129"/>
    </font>
    <font>
      <sz val="6"/>
      <color indexed="8"/>
      <name val="굴림체"/>
      <family val="3"/>
      <charset val="129"/>
    </font>
    <font>
      <b/>
      <u/>
      <sz val="11"/>
      <color theme="1"/>
      <name val="돋움"/>
      <family val="3"/>
      <charset val="129"/>
    </font>
    <font>
      <b/>
      <u/>
      <sz val="15"/>
      <color indexed="8"/>
      <name val="HY수평선B"/>
      <family val="1"/>
      <charset val="129"/>
    </font>
    <font>
      <sz val="13"/>
      <name val="굴림"/>
      <family val="3"/>
      <charset val="129"/>
    </font>
    <font>
      <b/>
      <sz val="13"/>
      <name val="HY수평선B"/>
      <family val="1"/>
      <charset val="129"/>
    </font>
    <font>
      <sz val="10"/>
      <name val="굴림체"/>
      <family val="3"/>
      <charset val="129"/>
    </font>
    <font>
      <sz val="9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0" tint="-4.9989318521683403E-2"/>
      <name val="굴림"/>
      <family val="3"/>
      <charset val="129"/>
    </font>
    <font>
      <sz val="9"/>
      <name val="맑은 고딕"/>
      <family val="3"/>
      <charset val="129"/>
      <scheme val="major"/>
    </font>
    <font>
      <sz val="8"/>
      <color rgb="FF000000"/>
      <name val="굴림"/>
      <family val="3"/>
      <charset val="129"/>
    </font>
    <font>
      <sz val="8"/>
      <color indexed="8"/>
      <name val="굴림체"/>
      <family val="3"/>
      <charset val="129"/>
    </font>
    <font>
      <sz val="9"/>
      <name val="맑은 고딕"/>
      <family val="3"/>
      <charset val="129"/>
    </font>
    <font>
      <sz val="7.5"/>
      <name val="맑은 고딕"/>
      <family val="3"/>
      <charset val="129"/>
      <scheme val="minor"/>
    </font>
    <font>
      <sz val="11"/>
      <name val="HY견명조"/>
      <family val="1"/>
      <charset val="129"/>
    </font>
    <font>
      <sz val="11"/>
      <color indexed="9"/>
      <name val="HY견명조"/>
      <family val="1"/>
      <charset val="129"/>
    </font>
    <font>
      <b/>
      <sz val="11"/>
      <name val="HY견명조"/>
      <family val="1"/>
      <charset val="129"/>
    </font>
    <font>
      <sz val="10"/>
      <name val="HY견명조"/>
      <family val="1"/>
      <charset val="129"/>
    </font>
    <font>
      <sz val="8"/>
      <name val="HY견명조"/>
      <family val="1"/>
      <charset val="129"/>
    </font>
    <font>
      <sz val="9"/>
      <name val="HY견명조"/>
      <family val="1"/>
      <charset val="129"/>
    </font>
    <font>
      <b/>
      <sz val="14"/>
      <name val="HY견명조"/>
      <family val="1"/>
      <charset val="129"/>
    </font>
    <font>
      <b/>
      <sz val="24"/>
      <name val="HY견명조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9">
    <xf numFmtId="0" fontId="0" fillId="0" borderId="0"/>
    <xf numFmtId="41" fontId="3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42" fontId="3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</cellStyleXfs>
  <cellXfs count="1478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0" xfId="0" applyFont="1"/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1" fontId="30" fillId="0" borderId="0" xfId="1" applyFont="1" applyFill="1" applyBorder="1" applyAlignment="1">
      <alignment horizontal="center" vertical="center"/>
    </xf>
    <xf numFmtId="41" fontId="30" fillId="0" borderId="0" xfId="1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distributed" vertical="center"/>
    </xf>
    <xf numFmtId="176" fontId="30" fillId="0" borderId="0" xfId="1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 applyAlignment="1">
      <alignment horizontal="left" vertical="center"/>
    </xf>
    <xf numFmtId="41" fontId="9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9" fontId="13" fillId="0" borderId="0" xfId="1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quotePrefix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1" fontId="40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1" fontId="9" fillId="0" borderId="50" xfId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9" fillId="0" borderId="0" xfId="1" applyFont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8" fillId="0" borderId="0" xfId="0" applyFont="1" applyAlignment="1">
      <alignment horizontal="left"/>
    </xf>
    <xf numFmtId="0" fontId="0" fillId="0" borderId="0" xfId="0" applyAlignment="1">
      <alignment vertical="center"/>
    </xf>
    <xf numFmtId="0" fontId="54" fillId="6" borderId="2" xfId="0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41" fontId="56" fillId="0" borderId="53" xfId="1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41" fontId="57" fillId="0" borderId="2" xfId="1" applyFont="1" applyBorder="1" applyAlignment="1">
      <alignment vertical="center"/>
    </xf>
    <xf numFmtId="41" fontId="57" fillId="0" borderId="2" xfId="1" applyFont="1" applyBorder="1" applyAlignment="1">
      <alignment horizontal="right" vertical="center"/>
    </xf>
    <xf numFmtId="0" fontId="57" fillId="0" borderId="2" xfId="0" applyFont="1" applyBorder="1" applyAlignment="1">
      <alignment horizontal="distributed" vertical="center"/>
    </xf>
    <xf numFmtId="41" fontId="57" fillId="0" borderId="55" xfId="1" applyFont="1" applyBorder="1" applyAlignment="1">
      <alignment vertical="center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8" fillId="0" borderId="6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justify"/>
    </xf>
    <xf numFmtId="0" fontId="57" fillId="0" borderId="59" xfId="0" applyFont="1" applyBorder="1" applyAlignment="1">
      <alignment horizontal="center" vertical="center"/>
    </xf>
    <xf numFmtId="0" fontId="47" fillId="5" borderId="60" xfId="0" quotePrefix="1" applyFont="1" applyFill="1" applyBorder="1" applyAlignment="1">
      <alignment vertical="center"/>
    </xf>
    <xf numFmtId="41" fontId="57" fillId="0" borderId="54" xfId="1" applyFont="1" applyBorder="1" applyAlignment="1">
      <alignment horizontal="right" vertical="center"/>
    </xf>
    <xf numFmtId="0" fontId="15" fillId="0" borderId="60" xfId="0" applyFont="1" applyBorder="1" applyAlignment="1">
      <alignment vertical="center"/>
    </xf>
    <xf numFmtId="41" fontId="15" fillId="0" borderId="60" xfId="0" applyNumberFormat="1" applyFont="1" applyBorder="1" applyAlignment="1">
      <alignment vertical="center"/>
    </xf>
    <xf numFmtId="0" fontId="15" fillId="0" borderId="60" xfId="0" quotePrefix="1" applyFont="1" applyFill="1" applyBorder="1" applyAlignment="1">
      <alignment vertical="center"/>
    </xf>
    <xf numFmtId="0" fontId="15" fillId="0" borderId="62" xfId="0" applyFont="1" applyBorder="1" applyAlignment="1">
      <alignment vertical="center"/>
    </xf>
    <xf numFmtId="41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41" fontId="65" fillId="0" borderId="0" xfId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3" fontId="65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41" fontId="65" fillId="0" borderId="0" xfId="1" applyFont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Continuous" vertical="center"/>
    </xf>
    <xf numFmtId="0" fontId="70" fillId="0" borderId="0" xfId="0" applyFont="1" applyFill="1" applyAlignment="1">
      <alignment horizontal="centerContinuous" vertical="center"/>
    </xf>
    <xf numFmtId="0" fontId="70" fillId="0" borderId="0" xfId="0" applyFont="1" applyFill="1" applyAlignment="1">
      <alignment horizontal="centerContinuous" vertical="center" shrinkToFit="1"/>
    </xf>
    <xf numFmtId="0" fontId="62" fillId="0" borderId="0" xfId="0" applyFont="1" applyFill="1" applyAlignment="1">
      <alignment horizontal="centerContinuous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72" fillId="0" borderId="3" xfId="0" applyFont="1" applyFill="1" applyBorder="1" applyAlignment="1">
      <alignment horizontal="centerContinuous" vertical="center" wrapText="1"/>
    </xf>
    <xf numFmtId="0" fontId="72" fillId="0" borderId="4" xfId="0" applyFont="1" applyFill="1" applyBorder="1" applyAlignment="1">
      <alignment horizontal="centerContinuous" vertical="center" wrapText="1"/>
    </xf>
    <xf numFmtId="0" fontId="62" fillId="0" borderId="5" xfId="0" applyFont="1" applyFill="1" applyBorder="1" applyAlignment="1">
      <alignment horizontal="centerContinuous" vertical="center"/>
    </xf>
    <xf numFmtId="0" fontId="62" fillId="0" borderId="4" xfId="0" applyFont="1" applyFill="1" applyBorder="1" applyAlignment="1">
      <alignment horizontal="centerContinuous" vertical="center"/>
    </xf>
    <xf numFmtId="197" fontId="62" fillId="0" borderId="2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41" fontId="62" fillId="0" borderId="18" xfId="1" applyFont="1" applyFill="1" applyBorder="1" applyAlignment="1">
      <alignment horizontal="right" vertical="center"/>
    </xf>
    <xf numFmtId="41" fontId="62" fillId="0" borderId="12" xfId="0" applyNumberFormat="1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horizontal="left" vertical="center"/>
    </xf>
    <xf numFmtId="41" fontId="62" fillId="0" borderId="3" xfId="1" applyFont="1" applyFill="1" applyBorder="1" applyAlignment="1">
      <alignment horizontal="right" vertical="center"/>
    </xf>
    <xf numFmtId="41" fontId="62" fillId="0" borderId="2" xfId="0" applyNumberFormat="1" applyFont="1" applyFill="1" applyBorder="1" applyAlignment="1">
      <alignment horizontal="center" vertical="center" shrinkToFit="1"/>
    </xf>
    <xf numFmtId="41" fontId="62" fillId="0" borderId="0" xfId="1" applyFont="1" applyFill="1" applyBorder="1" applyAlignment="1">
      <alignment horizontal="center" vertical="center"/>
    </xf>
    <xf numFmtId="185" fontId="62" fillId="0" borderId="2" xfId="0" applyNumberFormat="1" applyFont="1" applyFill="1" applyBorder="1" applyAlignment="1">
      <alignment horizontal="right" vertical="center"/>
    </xf>
    <xf numFmtId="41" fontId="62" fillId="0" borderId="2" xfId="0" applyNumberFormat="1" applyFont="1" applyFill="1" applyBorder="1" applyAlignment="1">
      <alignment horizontal="right" vertical="center"/>
    </xf>
    <xf numFmtId="0" fontId="75" fillId="0" borderId="2" xfId="0" applyFont="1" applyFill="1" applyBorder="1" applyAlignment="1">
      <alignment horizontal="distributed" vertical="center" wrapText="1"/>
    </xf>
    <xf numFmtId="176" fontId="62" fillId="0" borderId="2" xfId="0" applyNumberFormat="1" applyFont="1" applyFill="1" applyBorder="1" applyAlignment="1">
      <alignment horizontal="right" vertical="center"/>
    </xf>
    <xf numFmtId="41" fontId="62" fillId="0" borderId="2" xfId="1" applyFont="1" applyFill="1" applyBorder="1" applyAlignment="1">
      <alignment horizontal="right" vertical="center"/>
    </xf>
    <xf numFmtId="0" fontId="62" fillId="0" borderId="2" xfId="0" applyFont="1" applyFill="1" applyBorder="1" applyAlignment="1">
      <alignment horizontal="center" vertical="center" wrapText="1"/>
    </xf>
    <xf numFmtId="41" fontId="62" fillId="0" borderId="11" xfId="0" applyNumberFormat="1" applyFont="1" applyFill="1" applyBorder="1" applyAlignment="1">
      <alignment horizontal="right" vertical="center" shrinkToFit="1"/>
    </xf>
    <xf numFmtId="0" fontId="75" fillId="0" borderId="11" xfId="0" applyFont="1" applyFill="1" applyBorder="1" applyAlignment="1">
      <alignment horizontal="distributed" vertical="center"/>
    </xf>
    <xf numFmtId="41" fontId="62" fillId="0" borderId="11" xfId="1" applyFont="1" applyFill="1" applyBorder="1" applyAlignment="1">
      <alignment horizontal="center" vertical="center"/>
    </xf>
    <xf numFmtId="41" fontId="76" fillId="0" borderId="42" xfId="0" applyNumberFormat="1" applyFont="1" applyFill="1" applyBorder="1" applyAlignment="1">
      <alignment horizontal="center" vertical="center" wrapText="1" shrinkToFit="1"/>
    </xf>
    <xf numFmtId="0" fontId="75" fillId="0" borderId="3" xfId="0" applyFont="1" applyFill="1" applyBorder="1" applyAlignment="1">
      <alignment horizontal="distributed" vertical="center"/>
    </xf>
    <xf numFmtId="0" fontId="75" fillId="0" borderId="3" xfId="0" applyFont="1" applyFill="1" applyBorder="1" applyAlignment="1">
      <alignment horizontal="distributed" vertical="center" shrinkToFit="1"/>
    </xf>
    <xf numFmtId="0" fontId="77" fillId="0" borderId="3" xfId="0" applyFont="1" applyFill="1" applyBorder="1" applyAlignment="1">
      <alignment horizontal="distributed" vertical="center"/>
    </xf>
    <xf numFmtId="0" fontId="62" fillId="0" borderId="3" xfId="0" applyFont="1" applyFill="1" applyBorder="1" applyAlignment="1">
      <alignment horizontal="center" vertical="center"/>
    </xf>
    <xf numFmtId="41" fontId="62" fillId="0" borderId="2" xfId="1" applyFont="1" applyFill="1" applyBorder="1" applyAlignment="1">
      <alignment horizontal="center" vertical="center" shrinkToFit="1"/>
    </xf>
    <xf numFmtId="41" fontId="73" fillId="0" borderId="0" xfId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2" fillId="0" borderId="6" xfId="0" applyFont="1" applyFill="1" applyBorder="1" applyAlignment="1">
      <alignment vertical="center"/>
    </xf>
    <xf numFmtId="41" fontId="62" fillId="0" borderId="12" xfId="1" applyFont="1" applyFill="1" applyBorder="1" applyAlignment="1">
      <alignment vertical="center"/>
    </xf>
    <xf numFmtId="41" fontId="62" fillId="0" borderId="2" xfId="1" applyFont="1" applyFill="1" applyBorder="1" applyAlignment="1">
      <alignment vertical="center"/>
    </xf>
    <xf numFmtId="41" fontId="76" fillId="0" borderId="2" xfId="1" applyFont="1" applyFill="1" applyBorder="1" applyAlignment="1">
      <alignment vertical="center"/>
    </xf>
    <xf numFmtId="0" fontId="77" fillId="0" borderId="3" xfId="0" applyFont="1" applyFill="1" applyBorder="1" applyAlignment="1">
      <alignment vertical="center"/>
    </xf>
    <xf numFmtId="0" fontId="75" fillId="0" borderId="5" xfId="0" applyFont="1" applyFill="1" applyBorder="1" applyAlignment="1">
      <alignment vertical="center"/>
    </xf>
    <xf numFmtId="0" fontId="75" fillId="0" borderId="4" xfId="0" applyFont="1" applyFill="1" applyBorder="1" applyAlignment="1">
      <alignment vertical="center"/>
    </xf>
    <xf numFmtId="0" fontId="76" fillId="0" borderId="2" xfId="0" applyFont="1" applyFill="1" applyBorder="1" applyAlignment="1">
      <alignment vertical="center"/>
    </xf>
    <xf numFmtId="0" fontId="76" fillId="0" borderId="2" xfId="0" applyFont="1" applyFill="1" applyBorder="1" applyAlignment="1">
      <alignment vertical="center" shrinkToFit="1"/>
    </xf>
    <xf numFmtId="0" fontId="76" fillId="0" borderId="2" xfId="0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horizontal="center" vertical="center"/>
    </xf>
    <xf numFmtId="41" fontId="62" fillId="0" borderId="0" xfId="0" applyNumberFormat="1" applyFont="1" applyFill="1" applyBorder="1" applyAlignment="1">
      <alignment horizontal="center" vertical="center"/>
    </xf>
    <xf numFmtId="189" fontId="62" fillId="0" borderId="0" xfId="1" applyNumberFormat="1" applyFont="1" applyFill="1" applyBorder="1" applyAlignment="1">
      <alignment horizontal="center" vertical="center"/>
    </xf>
    <xf numFmtId="188" fontId="75" fillId="0" borderId="0" xfId="1" applyNumberFormat="1" applyFont="1" applyFill="1" applyBorder="1" applyAlignment="1">
      <alignment horizontal="center" vertical="center"/>
    </xf>
    <xf numFmtId="177" fontId="62" fillId="0" borderId="0" xfId="1" applyNumberFormat="1" applyFont="1" applyFill="1" applyBorder="1" applyAlignment="1">
      <alignment horizontal="left" vertical="center"/>
    </xf>
    <xf numFmtId="189" fontId="62" fillId="0" borderId="10" xfId="1" applyNumberFormat="1" applyFont="1" applyFill="1" applyBorder="1" applyAlignment="1">
      <alignment horizontal="center" vertical="center"/>
    </xf>
    <xf numFmtId="188" fontId="75" fillId="0" borderId="10" xfId="1" applyNumberFormat="1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/>
    </xf>
    <xf numFmtId="41" fontId="62" fillId="0" borderId="2" xfId="1" applyNumberFormat="1" applyFont="1" applyFill="1" applyBorder="1" applyAlignment="1">
      <alignment horizontal="center" vertical="center" shrinkToFit="1"/>
    </xf>
    <xf numFmtId="177" fontId="77" fillId="0" borderId="3" xfId="0" quotePrefix="1" applyNumberFormat="1" applyFont="1" applyFill="1" applyBorder="1" applyAlignment="1">
      <alignment vertical="center"/>
    </xf>
    <xf numFmtId="177" fontId="77" fillId="0" borderId="4" xfId="0" applyNumberFormat="1" applyFont="1" applyFill="1" applyBorder="1" applyAlignment="1">
      <alignment vertical="center"/>
    </xf>
    <xf numFmtId="43" fontId="68" fillId="0" borderId="0" xfId="0" applyNumberFormat="1" applyFont="1" applyFill="1" applyAlignment="1">
      <alignment horizontal="center" vertical="center"/>
    </xf>
    <xf numFmtId="177" fontId="77" fillId="0" borderId="3" xfId="0" applyNumberFormat="1" applyFont="1" applyFill="1" applyBorder="1" applyAlignment="1">
      <alignment vertical="center"/>
    </xf>
    <xf numFmtId="41" fontId="62" fillId="0" borderId="54" xfId="1" applyNumberFormat="1" applyFont="1" applyFill="1" applyBorder="1" applyAlignment="1">
      <alignment horizontal="center" vertical="center" shrinkToFit="1"/>
    </xf>
    <xf numFmtId="177" fontId="77" fillId="0" borderId="56" xfId="0" applyNumberFormat="1" applyFont="1" applyFill="1" applyBorder="1" applyAlignment="1">
      <alignment vertical="center"/>
    </xf>
    <xf numFmtId="177" fontId="77" fillId="0" borderId="58" xfId="0" applyNumberFormat="1" applyFont="1" applyFill="1" applyBorder="1" applyAlignment="1">
      <alignment vertical="center"/>
    </xf>
    <xf numFmtId="41" fontId="62" fillId="0" borderId="12" xfId="1" applyNumberFormat="1" applyFont="1" applyFill="1" applyBorder="1" applyAlignment="1">
      <alignment horizontal="center" vertical="center" shrinkToFit="1"/>
    </xf>
    <xf numFmtId="41" fontId="77" fillId="0" borderId="18" xfId="0" applyNumberFormat="1" applyFont="1" applyFill="1" applyBorder="1" applyAlignment="1">
      <alignment vertical="center" wrapText="1" shrinkToFit="1"/>
    </xf>
    <xf numFmtId="41" fontId="77" fillId="0" borderId="19" xfId="0" applyNumberFormat="1" applyFont="1" applyFill="1" applyBorder="1" applyAlignment="1">
      <alignment vertical="center" wrapText="1" shrinkToFit="1"/>
    </xf>
    <xf numFmtId="41" fontId="62" fillId="0" borderId="2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41" fontId="62" fillId="0" borderId="3" xfId="0" applyNumberFormat="1" applyFont="1" applyFill="1" applyBorder="1" applyAlignment="1">
      <alignment vertical="center"/>
    </xf>
    <xf numFmtId="41" fontId="62" fillId="0" borderId="4" xfId="0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178" fontId="72" fillId="0" borderId="0" xfId="3" applyNumberFormat="1" applyFont="1" applyFill="1" applyBorder="1" applyAlignment="1">
      <alignment horizontal="right" vertical="center"/>
    </xf>
    <xf numFmtId="178" fontId="79" fillId="0" borderId="0" xfId="3" applyNumberFormat="1" applyFont="1" applyFill="1" applyBorder="1" applyAlignment="1">
      <alignment horizontal="right" vertical="center"/>
    </xf>
    <xf numFmtId="0" fontId="62" fillId="0" borderId="0" xfId="0" applyNumberFormat="1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NumberFormat="1" applyFont="1" applyFill="1" applyBorder="1" applyAlignment="1">
      <alignment horizontal="left" vertical="center"/>
    </xf>
    <xf numFmtId="41" fontId="62" fillId="0" borderId="4" xfId="1" applyFont="1" applyFill="1" applyBorder="1" applyAlignment="1">
      <alignment horizontal="center" vertical="center"/>
    </xf>
    <xf numFmtId="41" fontId="62" fillId="0" borderId="0" xfId="1" applyFont="1" applyFill="1" applyBorder="1" applyAlignment="1">
      <alignment horizontal="center" vertical="center" shrinkToFit="1"/>
    </xf>
    <xf numFmtId="41" fontId="68" fillId="0" borderId="0" xfId="1" applyFont="1" applyFill="1" applyBorder="1" applyAlignment="1">
      <alignment horizontal="center" vertical="center" shrinkToFit="1"/>
    </xf>
    <xf numFmtId="0" fontId="72" fillId="0" borderId="0" xfId="0" applyFont="1" applyFill="1" applyAlignment="1">
      <alignment horizontal="left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188" fontId="73" fillId="0" borderId="0" xfId="1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shrinkToFit="1"/>
    </xf>
    <xf numFmtId="176" fontId="62" fillId="0" borderId="0" xfId="1" applyNumberFormat="1" applyFont="1" applyFill="1" applyBorder="1" applyAlignment="1">
      <alignment horizontal="right" vertical="center" indent="2"/>
    </xf>
    <xf numFmtId="176" fontId="62" fillId="0" borderId="0" xfId="0" applyNumberFormat="1" applyFont="1" applyFill="1" applyBorder="1" applyAlignment="1">
      <alignment horizontal="right" vertical="center" indent="2"/>
    </xf>
    <xf numFmtId="0" fontId="62" fillId="0" borderId="0" xfId="0" applyNumberFormat="1" applyFont="1" applyFill="1" applyBorder="1" applyAlignment="1">
      <alignment horizontal="left" vertical="center" wrapText="1" indent="1"/>
    </xf>
    <xf numFmtId="0" fontId="62" fillId="0" borderId="0" xfId="0" applyFont="1" applyFill="1" applyBorder="1" applyAlignment="1">
      <alignment horizontal="center" vertical="center" shrinkToFit="1"/>
    </xf>
    <xf numFmtId="42" fontId="72" fillId="0" borderId="0" xfId="3" applyFont="1" applyFill="1" applyBorder="1" applyAlignment="1">
      <alignment horizontal="center" vertical="center"/>
    </xf>
    <xf numFmtId="0" fontId="62" fillId="0" borderId="0" xfId="0" applyFont="1"/>
    <xf numFmtId="0" fontId="68" fillId="0" borderId="0" xfId="0" applyFont="1"/>
    <xf numFmtId="3" fontId="68" fillId="0" borderId="0" xfId="0" applyNumberFormat="1" applyFont="1" applyFill="1" applyBorder="1" applyAlignment="1">
      <alignment horizontal="center" vertical="center"/>
    </xf>
    <xf numFmtId="41" fontId="68" fillId="0" borderId="0" xfId="1" applyFont="1" applyFill="1" applyBorder="1" applyAlignment="1">
      <alignment vertical="center" shrinkToFit="1"/>
    </xf>
    <xf numFmtId="41" fontId="82" fillId="0" borderId="0" xfId="1" applyFont="1" applyFill="1" applyBorder="1" applyAlignment="1">
      <alignment vertical="center" shrinkToFit="1"/>
    </xf>
    <xf numFmtId="176" fontId="68" fillId="0" borderId="0" xfId="0" applyNumberFormat="1" applyFont="1" applyFill="1" applyBorder="1" applyAlignment="1">
      <alignment horizontal="center" vertical="center" shrinkToFit="1"/>
    </xf>
    <xf numFmtId="178" fontId="72" fillId="0" borderId="10" xfId="3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3" fontId="75" fillId="0" borderId="12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3" fontId="62" fillId="0" borderId="2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43" fontId="73" fillId="0" borderId="0" xfId="1" applyNumberFormat="1" applyFont="1" applyFill="1" applyBorder="1" applyAlignment="1">
      <alignment horizontal="center" vertical="center" shrinkToFit="1"/>
    </xf>
    <xf numFmtId="193" fontId="73" fillId="0" borderId="0" xfId="0" applyNumberFormat="1" applyFont="1" applyFill="1" applyBorder="1" applyAlignment="1">
      <alignment horizontal="center" vertical="center"/>
    </xf>
    <xf numFmtId="193" fontId="6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1" fontId="73" fillId="0" borderId="4" xfId="1" applyFont="1" applyFill="1" applyBorder="1" applyAlignment="1">
      <alignment horizontal="center" vertical="center"/>
    </xf>
    <xf numFmtId="41" fontId="73" fillId="0" borderId="12" xfId="1" applyNumberFormat="1" applyFont="1" applyFill="1" applyBorder="1" applyAlignment="1">
      <alignment horizontal="center" vertical="center" shrinkToFit="1"/>
    </xf>
    <xf numFmtId="41" fontId="73" fillId="0" borderId="2" xfId="1" applyNumberFormat="1" applyFont="1" applyFill="1" applyBorder="1" applyAlignment="1">
      <alignment horizontal="center" vertical="center" shrinkToFit="1"/>
    </xf>
    <xf numFmtId="41" fontId="73" fillId="0" borderId="2" xfId="0" applyNumberFormat="1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1" fontId="65" fillId="6" borderId="3" xfId="1" applyFont="1" applyFill="1" applyBorder="1" applyAlignment="1">
      <alignment vertical="center"/>
    </xf>
    <xf numFmtId="41" fontId="65" fillId="6" borderId="5" xfId="1" applyFont="1" applyFill="1" applyBorder="1" applyAlignment="1">
      <alignment vertical="center"/>
    </xf>
    <xf numFmtId="41" fontId="65" fillId="6" borderId="29" xfId="1" applyFont="1" applyFill="1" applyBorder="1" applyAlignment="1">
      <alignment vertical="center"/>
    </xf>
    <xf numFmtId="41" fontId="57" fillId="0" borderId="54" xfId="1" applyFont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21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/>
    <xf numFmtId="41" fontId="62" fillId="0" borderId="4" xfId="1" applyFont="1" applyFill="1" applyBorder="1" applyAlignment="1">
      <alignment horizontal="center" vertical="center"/>
    </xf>
    <xf numFmtId="41" fontId="62" fillId="0" borderId="2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178" fontId="72" fillId="0" borderId="0" xfId="3" applyNumberFormat="1" applyFont="1" applyFill="1" applyBorder="1" applyAlignment="1">
      <alignment horizontal="right" vertical="center"/>
    </xf>
    <xf numFmtId="41" fontId="62" fillId="0" borderId="0" xfId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57" fillId="0" borderId="59" xfId="0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41" fontId="73" fillId="0" borderId="4" xfId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7" fillId="0" borderId="0" xfId="0" applyFont="1" applyAlignment="1">
      <alignment vertical="center"/>
    </xf>
    <xf numFmtId="176" fontId="8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41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212" fontId="5" fillId="0" borderId="63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204" fontId="5" fillId="0" borderId="6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64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5" fillId="0" borderId="60" xfId="1" applyFont="1" applyBorder="1" applyAlignment="1">
      <alignment vertical="center"/>
    </xf>
    <xf numFmtId="41" fontId="0" fillId="0" borderId="0" xfId="1" applyFont="1" applyAlignment="1">
      <alignment vertical="center"/>
    </xf>
    <xf numFmtId="41" fontId="0" fillId="0" borderId="91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21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5" fillId="0" borderId="0" xfId="1" applyFont="1" applyBorder="1" applyAlignment="1">
      <alignment vertical="center"/>
    </xf>
    <xf numFmtId="204" fontId="5" fillId="0" borderId="0" xfId="0" applyNumberFormat="1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41" fontId="5" fillId="0" borderId="92" xfId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1" fontId="76" fillId="0" borderId="12" xfId="1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vertical="center"/>
    </xf>
    <xf numFmtId="0" fontId="75" fillId="0" borderId="21" xfId="0" applyFont="1" applyFill="1" applyBorder="1" applyAlignment="1">
      <alignment vertical="center"/>
    </xf>
    <xf numFmtId="0" fontId="75" fillId="0" borderId="22" xfId="0" applyFont="1" applyFill="1" applyBorder="1" applyAlignment="1">
      <alignment vertical="center"/>
    </xf>
    <xf numFmtId="41" fontId="76" fillId="0" borderId="2" xfId="1" applyFont="1" applyFill="1" applyBorder="1" applyAlignment="1">
      <alignment horizontal="center" vertical="center"/>
    </xf>
    <xf numFmtId="41" fontId="93" fillId="0" borderId="0" xfId="1" applyFont="1" applyAlignment="1">
      <alignment vertical="center"/>
    </xf>
    <xf numFmtId="182" fontId="9" fillId="3" borderId="2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/>
    </xf>
    <xf numFmtId="41" fontId="9" fillId="3" borderId="2" xfId="0" applyNumberFormat="1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94" fillId="0" borderId="0" xfId="1" applyFont="1" applyAlignment="1">
      <alignment vertical="center"/>
    </xf>
    <xf numFmtId="0" fontId="15" fillId="0" borderId="2" xfId="0" applyFont="1" applyBorder="1" applyAlignment="1">
      <alignment horizontal="distributed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1" fontId="98" fillId="0" borderId="0" xfId="0" applyNumberFormat="1" applyFont="1" applyFill="1" applyBorder="1" applyAlignment="1">
      <alignment horizontal="center" vertical="center"/>
    </xf>
    <xf numFmtId="176" fontId="91" fillId="0" borderId="97" xfId="0" applyNumberFormat="1" applyFont="1" applyBorder="1" applyAlignment="1">
      <alignment horizontal="right" vertical="center" wrapText="1"/>
    </xf>
    <xf numFmtId="0" fontId="98" fillId="0" borderId="0" xfId="0" applyFont="1" applyFill="1" applyAlignment="1">
      <alignment horizontal="center" vertical="center"/>
    </xf>
    <xf numFmtId="185" fontId="98" fillId="0" borderId="0" xfId="0" applyNumberFormat="1" applyFont="1" applyFill="1" applyBorder="1" applyAlignment="1">
      <alignment horizontal="left" vertical="center"/>
    </xf>
    <xf numFmtId="185" fontId="98" fillId="0" borderId="0" xfId="0" applyNumberFormat="1" applyFont="1" applyFill="1" applyBorder="1" applyAlignment="1">
      <alignment horizontal="right" vertical="center"/>
    </xf>
    <xf numFmtId="0" fontId="101" fillId="0" borderId="0" xfId="4" applyFont="1" applyFill="1" applyBorder="1" applyAlignment="1">
      <alignment vertical="center"/>
    </xf>
    <xf numFmtId="41" fontId="101" fillId="0" borderId="0" xfId="1" applyFont="1" applyFill="1" applyBorder="1" applyAlignment="1">
      <alignment horizontal="center" vertical="center"/>
    </xf>
    <xf numFmtId="41" fontId="98" fillId="0" borderId="0" xfId="1" applyFont="1" applyFill="1" applyBorder="1" applyAlignment="1">
      <alignment horizontal="right" vertical="center"/>
    </xf>
    <xf numFmtId="0" fontId="98" fillId="0" borderId="0" xfId="0" applyFont="1" applyFill="1" applyAlignment="1">
      <alignment horizontal="centerContinuous" vertical="center"/>
    </xf>
    <xf numFmtId="196" fontId="100" fillId="0" borderId="0" xfId="3" applyNumberFormat="1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left" vertical="center"/>
    </xf>
    <xf numFmtId="41" fontId="98" fillId="0" borderId="0" xfId="0" applyNumberFormat="1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horizontal="left" vertical="center" wrapText="1"/>
    </xf>
    <xf numFmtId="41" fontId="98" fillId="0" borderId="0" xfId="1" applyFont="1" applyFill="1" applyBorder="1" applyAlignment="1">
      <alignment horizontal="left" vertical="center"/>
    </xf>
    <xf numFmtId="177" fontId="98" fillId="0" borderId="0" xfId="1" applyNumberFormat="1" applyFont="1" applyFill="1" applyBorder="1" applyAlignment="1">
      <alignment horizontal="left" vertical="center"/>
    </xf>
    <xf numFmtId="0" fontId="98" fillId="0" borderId="0" xfId="2" applyFont="1" applyFill="1" applyBorder="1" applyAlignment="1">
      <alignment horizontal="center" vertical="center"/>
    </xf>
    <xf numFmtId="41" fontId="98" fillId="0" borderId="0" xfId="2" applyNumberFormat="1" applyFont="1" applyFill="1" applyBorder="1" applyAlignment="1">
      <alignment horizontal="center" vertical="center"/>
    </xf>
    <xf numFmtId="178" fontId="100" fillId="0" borderId="0" xfId="3" applyNumberFormat="1" applyFont="1" applyFill="1" applyBorder="1" applyAlignment="1">
      <alignment horizontal="right" vertical="center"/>
    </xf>
    <xf numFmtId="0" fontId="98" fillId="0" borderId="0" xfId="0" applyNumberFormat="1" applyFont="1" applyFill="1" applyAlignment="1">
      <alignment horizontal="left" vertical="center"/>
    </xf>
    <xf numFmtId="0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horizontal="left" vertical="center"/>
    </xf>
    <xf numFmtId="0" fontId="98" fillId="0" borderId="0" xfId="0" applyNumberFormat="1" applyFont="1" applyFill="1" applyBorder="1" applyAlignment="1">
      <alignment horizontal="left" vertical="center"/>
    </xf>
    <xf numFmtId="41" fontId="98" fillId="0" borderId="0" xfId="1" applyFont="1" applyFill="1" applyBorder="1" applyAlignment="1">
      <alignment horizontal="center" vertical="center" shrinkToFit="1"/>
    </xf>
    <xf numFmtId="0" fontId="101" fillId="0" borderId="0" xfId="0" applyNumberFormat="1" applyFont="1" applyFill="1" applyBorder="1" applyAlignment="1">
      <alignment horizontal="center" vertical="center"/>
    </xf>
    <xf numFmtId="41" fontId="102" fillId="0" borderId="0" xfId="0" applyNumberFormat="1" applyFont="1" applyFill="1" applyBorder="1" applyAlignment="1">
      <alignment horizontal="left" vertical="center" indent="1" shrinkToFit="1"/>
    </xf>
    <xf numFmtId="0" fontId="102" fillId="0" borderId="0" xfId="0" applyNumberFormat="1" applyFont="1" applyFill="1" applyBorder="1" applyAlignment="1">
      <alignment horizontal="left" vertical="center" indent="1" shrinkToFit="1"/>
    </xf>
    <xf numFmtId="0" fontId="98" fillId="0" borderId="0" xfId="0" applyNumberFormat="1" applyFont="1" applyFill="1" applyBorder="1" applyAlignment="1">
      <alignment horizontal="left" vertical="center" wrapText="1" indent="1"/>
    </xf>
    <xf numFmtId="0" fontId="98" fillId="0" borderId="0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shrinkToFit="1"/>
    </xf>
    <xf numFmtId="42" fontId="100" fillId="0" borderId="0" xfId="3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41" fontId="98" fillId="0" borderId="0" xfId="1" applyFont="1" applyFill="1" applyBorder="1" applyAlignment="1">
      <alignment vertical="center" shrinkToFit="1"/>
    </xf>
    <xf numFmtId="41" fontId="102" fillId="0" borderId="0" xfId="1" applyFont="1" applyFill="1" applyBorder="1" applyAlignment="1">
      <alignment vertical="center" shrinkToFit="1"/>
    </xf>
    <xf numFmtId="178" fontId="103" fillId="0" borderId="0" xfId="3" applyNumberFormat="1" applyFont="1" applyFill="1" applyBorder="1" applyAlignment="1">
      <alignment horizontal="right" vertical="center"/>
    </xf>
    <xf numFmtId="41" fontId="98" fillId="0" borderId="0" xfId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 wrapText="1"/>
    </xf>
    <xf numFmtId="41" fontId="101" fillId="0" borderId="0" xfId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8" fillId="3" borderId="0" xfId="0" applyFont="1" applyFill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98" fillId="3" borderId="0" xfId="0" applyFont="1" applyFill="1" applyBorder="1" applyAlignment="1">
      <alignment horizontal="center" vertical="center"/>
    </xf>
    <xf numFmtId="0" fontId="101" fillId="3" borderId="0" xfId="0" applyFont="1" applyFill="1" applyAlignment="1">
      <alignment horizontal="left" vertical="center"/>
    </xf>
    <xf numFmtId="41" fontId="98" fillId="3" borderId="0" xfId="1" applyFont="1" applyFill="1" applyBorder="1" applyAlignment="1">
      <alignment horizontal="center" vertical="center"/>
    </xf>
    <xf numFmtId="41" fontId="98" fillId="3" borderId="0" xfId="1" applyFont="1" applyFill="1" applyAlignment="1">
      <alignment horizontal="center" vertical="center"/>
    </xf>
    <xf numFmtId="41" fontId="101" fillId="3" borderId="0" xfId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98" fillId="3" borderId="0" xfId="0" applyFont="1" applyFill="1" applyAlignment="1">
      <alignment horizontal="centerContinuous" vertical="center"/>
    </xf>
    <xf numFmtId="196" fontId="100" fillId="3" borderId="0" xfId="3" applyNumberFormat="1" applyFont="1" applyFill="1" applyBorder="1" applyAlignment="1">
      <alignment horizontal="right" vertical="center"/>
    </xf>
    <xf numFmtId="0" fontId="98" fillId="3" borderId="0" xfId="0" applyFont="1" applyFill="1" applyBorder="1" applyAlignment="1">
      <alignment horizontal="left" vertical="center"/>
    </xf>
    <xf numFmtId="0" fontId="68" fillId="3" borderId="0" xfId="0" applyFont="1" applyFill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98" fillId="3" borderId="0" xfId="0" applyFont="1" applyFill="1" applyBorder="1" applyAlignment="1">
      <alignment horizontal="left" vertical="center" shrinkToFit="1"/>
    </xf>
    <xf numFmtId="0" fontId="98" fillId="3" borderId="0" xfId="0" applyFont="1" applyFill="1" applyBorder="1" applyAlignment="1">
      <alignment horizontal="left" vertical="center" wrapText="1"/>
    </xf>
    <xf numFmtId="41" fontId="98" fillId="3" borderId="0" xfId="1" applyFont="1" applyFill="1" applyBorder="1" applyAlignment="1">
      <alignment horizontal="left" vertical="center"/>
    </xf>
    <xf numFmtId="177" fontId="98" fillId="3" borderId="0" xfId="1" applyNumberFormat="1" applyFont="1" applyFill="1" applyBorder="1" applyAlignment="1">
      <alignment horizontal="left" vertical="center"/>
    </xf>
    <xf numFmtId="195" fontId="68" fillId="3" borderId="0" xfId="1" applyNumberFormat="1" applyFont="1" applyFill="1" applyBorder="1" applyAlignment="1">
      <alignment horizontal="center" vertical="center"/>
    </xf>
    <xf numFmtId="41" fontId="98" fillId="3" borderId="0" xfId="0" applyNumberFormat="1" applyFont="1" applyFill="1" applyBorder="1" applyAlignment="1">
      <alignment horizontal="center" vertical="center"/>
    </xf>
    <xf numFmtId="0" fontId="98" fillId="3" borderId="0" xfId="0" applyNumberFormat="1" applyFont="1" applyFill="1" applyAlignment="1">
      <alignment horizontal="center" vertical="center"/>
    </xf>
    <xf numFmtId="43" fontId="68" fillId="3" borderId="0" xfId="0" applyNumberFormat="1" applyFont="1" applyFill="1" applyAlignment="1">
      <alignment horizontal="center" vertical="center"/>
    </xf>
    <xf numFmtId="177" fontId="68" fillId="3" borderId="0" xfId="1" applyNumberFormat="1" applyFont="1" applyFill="1" applyAlignment="1">
      <alignment horizontal="center" vertical="center"/>
    </xf>
    <xf numFmtId="177" fontId="68" fillId="3" borderId="0" xfId="0" applyNumberFormat="1" applyFont="1" applyFill="1" applyAlignment="1">
      <alignment horizontal="center" vertical="center"/>
    </xf>
    <xf numFmtId="178" fontId="100" fillId="3" borderId="0" xfId="3" applyNumberFormat="1" applyFont="1" applyFill="1" applyBorder="1" applyAlignment="1">
      <alignment horizontal="right" vertical="center"/>
    </xf>
    <xf numFmtId="41" fontId="68" fillId="3" borderId="0" xfId="1" applyFont="1" applyFill="1" applyBorder="1" applyAlignment="1">
      <alignment horizontal="center" vertical="center"/>
    </xf>
    <xf numFmtId="0" fontId="98" fillId="3" borderId="0" xfId="0" applyNumberFormat="1" applyFont="1" applyFill="1" applyAlignment="1">
      <alignment horizontal="left" vertical="center"/>
    </xf>
    <xf numFmtId="41" fontId="68" fillId="3" borderId="0" xfId="0" applyNumberFormat="1" applyFont="1" applyFill="1" applyAlignment="1">
      <alignment horizontal="left" vertical="center"/>
    </xf>
    <xf numFmtId="0" fontId="68" fillId="3" borderId="0" xfId="0" applyFont="1" applyFill="1" applyAlignment="1">
      <alignment horizontal="left" vertical="center"/>
    </xf>
    <xf numFmtId="0" fontId="98" fillId="3" borderId="0" xfId="0" applyNumberFormat="1" applyFont="1" applyFill="1" applyBorder="1" applyAlignment="1">
      <alignment horizontal="center" vertical="center"/>
    </xf>
    <xf numFmtId="0" fontId="98" fillId="3" borderId="0" xfId="0" applyFont="1" applyFill="1" applyAlignment="1">
      <alignment horizontal="left" vertical="center"/>
    </xf>
    <xf numFmtId="0" fontId="98" fillId="3" borderId="0" xfId="0" applyNumberFormat="1" applyFont="1" applyFill="1" applyBorder="1" applyAlignment="1">
      <alignment horizontal="left" vertical="center"/>
    </xf>
    <xf numFmtId="41" fontId="98" fillId="3" borderId="0" xfId="1" applyFont="1" applyFill="1" applyBorder="1" applyAlignment="1">
      <alignment horizontal="center" vertical="center" shrinkToFit="1"/>
    </xf>
    <xf numFmtId="0" fontId="101" fillId="3" borderId="0" xfId="0" applyNumberFormat="1" applyFont="1" applyFill="1" applyBorder="1" applyAlignment="1">
      <alignment horizontal="center" vertical="center"/>
    </xf>
    <xf numFmtId="0" fontId="80" fillId="3" borderId="0" xfId="0" applyFont="1" applyFill="1" applyAlignment="1">
      <alignment horizontal="left" vertical="center"/>
    </xf>
    <xf numFmtId="0" fontId="102" fillId="3" borderId="0" xfId="0" applyNumberFormat="1" applyFont="1" applyFill="1" applyBorder="1" applyAlignment="1">
      <alignment horizontal="left" vertical="center" indent="1" shrinkToFit="1"/>
    </xf>
    <xf numFmtId="0" fontId="98" fillId="3" borderId="0" xfId="0" applyNumberFormat="1" applyFont="1" applyFill="1" applyBorder="1" applyAlignment="1">
      <alignment horizontal="left" vertical="center" wrapText="1" indent="1"/>
    </xf>
    <xf numFmtId="0" fontId="98" fillId="3" borderId="0" xfId="0" applyNumberFormat="1" applyFont="1" applyFill="1" applyBorder="1" applyAlignment="1">
      <alignment horizontal="center" vertical="center" wrapText="1"/>
    </xf>
    <xf numFmtId="0" fontId="98" fillId="3" borderId="0" xfId="0" applyFont="1" applyFill="1" applyBorder="1" applyAlignment="1">
      <alignment horizontal="center" vertical="center" shrinkToFit="1"/>
    </xf>
    <xf numFmtId="42" fontId="100" fillId="3" borderId="0" xfId="3" applyFont="1" applyFill="1" applyBorder="1" applyAlignment="1">
      <alignment horizontal="center" vertical="center"/>
    </xf>
    <xf numFmtId="0" fontId="98" fillId="3" borderId="0" xfId="0" applyFont="1" applyFill="1"/>
    <xf numFmtId="0" fontId="68" fillId="3" borderId="0" xfId="0" applyFont="1" applyFill="1"/>
    <xf numFmtId="0" fontId="79" fillId="3" borderId="0" xfId="0" applyFont="1" applyFill="1" applyBorder="1" applyAlignment="1">
      <alignment horizontal="left" vertical="center"/>
    </xf>
    <xf numFmtId="176" fontId="98" fillId="3" borderId="0" xfId="0" applyNumberFormat="1" applyFont="1" applyFill="1" applyBorder="1" applyAlignment="1">
      <alignment horizontal="center" vertical="center" shrinkToFit="1"/>
    </xf>
    <xf numFmtId="176" fontId="68" fillId="3" borderId="0" xfId="0" applyNumberFormat="1" applyFont="1" applyFill="1" applyBorder="1" applyAlignment="1">
      <alignment horizontal="center" vertical="center" shrinkToFit="1"/>
    </xf>
    <xf numFmtId="0" fontId="101" fillId="3" borderId="0" xfId="0" applyFont="1" applyFill="1" applyBorder="1" applyAlignment="1">
      <alignment horizontal="center" vertical="center" wrapText="1"/>
    </xf>
    <xf numFmtId="0" fontId="101" fillId="3" borderId="0" xfId="0" applyFont="1" applyFill="1" applyBorder="1" applyAlignment="1">
      <alignment horizontal="center" vertical="center"/>
    </xf>
    <xf numFmtId="41" fontId="98" fillId="3" borderId="0" xfId="1" applyFont="1" applyFill="1" applyBorder="1" applyAlignment="1">
      <alignment vertical="center" shrinkToFit="1"/>
    </xf>
    <xf numFmtId="190" fontId="98" fillId="3" borderId="0" xfId="0" applyNumberFormat="1" applyFont="1" applyFill="1" applyBorder="1" applyAlignment="1">
      <alignment horizontal="center" vertical="center"/>
    </xf>
    <xf numFmtId="41" fontId="62" fillId="3" borderId="0" xfId="1" applyFont="1" applyFill="1" applyBorder="1" applyAlignment="1">
      <alignment horizontal="center" vertical="center"/>
    </xf>
    <xf numFmtId="41" fontId="68" fillId="3" borderId="0" xfId="0" applyNumberFormat="1" applyFont="1" applyFill="1" applyBorder="1" applyAlignment="1">
      <alignment horizontal="center" vertical="center"/>
    </xf>
    <xf numFmtId="41" fontId="102" fillId="3" borderId="0" xfId="1" applyFont="1" applyFill="1" applyBorder="1" applyAlignment="1">
      <alignment vertical="center" shrinkToFit="1"/>
    </xf>
    <xf numFmtId="0" fontId="80" fillId="3" borderId="0" xfId="0" applyFont="1" applyFill="1" applyBorder="1" applyAlignment="1">
      <alignment horizontal="center" vertical="center"/>
    </xf>
    <xf numFmtId="178" fontId="103" fillId="3" borderId="0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8" fillId="0" borderId="0" xfId="0" applyFont="1" applyFill="1"/>
    <xf numFmtId="0" fontId="68" fillId="0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178" fontId="72" fillId="0" borderId="0" xfId="3" applyNumberFormat="1" applyFont="1" applyFill="1" applyBorder="1" applyAlignment="1">
      <alignment horizontal="right" vertical="center"/>
    </xf>
    <xf numFmtId="177" fontId="62" fillId="0" borderId="0" xfId="1" applyNumberFormat="1" applyFont="1" applyFill="1" applyBorder="1" applyAlignment="1">
      <alignment horizontal="left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96" fontId="72" fillId="0" borderId="0" xfId="3" applyNumberFormat="1" applyFont="1" applyFill="1" applyBorder="1" applyAlignment="1">
      <alignment horizontal="right" vertical="center"/>
    </xf>
    <xf numFmtId="198" fontId="62" fillId="0" borderId="0" xfId="0" applyNumberFormat="1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41" fontId="73" fillId="0" borderId="0" xfId="1" applyFont="1" applyFill="1" applyAlignment="1">
      <alignment horizontal="left" vertical="center"/>
    </xf>
    <xf numFmtId="41" fontId="73" fillId="0" borderId="0" xfId="1" applyFont="1" applyFill="1" applyBorder="1" applyAlignment="1">
      <alignment horizontal="left" vertical="center"/>
    </xf>
    <xf numFmtId="41" fontId="73" fillId="0" borderId="0" xfId="0" applyNumberFormat="1" applyFont="1" applyFill="1" applyAlignment="1">
      <alignment horizontal="left" vertical="center"/>
    </xf>
    <xf numFmtId="41" fontId="73" fillId="0" borderId="0" xfId="4" applyNumberFormat="1" applyFont="1" applyFill="1" applyAlignment="1">
      <alignment horizontal="left" vertical="center"/>
    </xf>
    <xf numFmtId="0" fontId="73" fillId="0" borderId="0" xfId="4" applyFont="1" applyFill="1" applyAlignment="1">
      <alignment horizontal="left" vertical="center"/>
    </xf>
    <xf numFmtId="41" fontId="73" fillId="0" borderId="0" xfId="4" quotePrefix="1" applyNumberFormat="1" applyFont="1" applyFill="1" applyAlignment="1">
      <alignment horizontal="left" vertical="center"/>
    </xf>
    <xf numFmtId="41" fontId="73" fillId="0" borderId="0" xfId="4" applyNumberFormat="1" applyFont="1" applyFill="1" applyBorder="1" applyAlignment="1">
      <alignment horizontal="center" vertical="center"/>
    </xf>
    <xf numFmtId="41" fontId="73" fillId="0" borderId="0" xfId="4" applyNumberFormat="1" applyFont="1" applyFill="1" applyAlignment="1">
      <alignment horizontal="center" vertical="center"/>
    </xf>
    <xf numFmtId="0" fontId="73" fillId="0" borderId="0" xfId="4" applyFont="1" applyFill="1" applyAlignment="1">
      <alignment horizontal="center" vertical="center"/>
    </xf>
    <xf numFmtId="41" fontId="73" fillId="0" borderId="9" xfId="1" applyFont="1" applyFill="1" applyBorder="1" applyAlignment="1">
      <alignment vertical="center"/>
    </xf>
    <xf numFmtId="41" fontId="62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shrinkToFit="1"/>
    </xf>
    <xf numFmtId="0" fontId="62" fillId="0" borderId="0" xfId="0" applyFont="1" applyFill="1" applyBorder="1" applyAlignment="1">
      <alignment horizontal="left" vertical="center" wrapText="1"/>
    </xf>
    <xf numFmtId="41" fontId="62" fillId="0" borderId="0" xfId="1" applyFont="1" applyFill="1" applyBorder="1" applyAlignment="1">
      <alignment horizontal="left" vertical="center"/>
    </xf>
    <xf numFmtId="0" fontId="62" fillId="0" borderId="9" xfId="2" applyFont="1" applyFill="1" applyBorder="1" applyAlignment="1">
      <alignment horizontal="left" vertical="center"/>
    </xf>
    <xf numFmtId="176" fontId="62" fillId="0" borderId="9" xfId="2" quotePrefix="1" applyNumberFormat="1" applyFont="1" applyFill="1" applyBorder="1" applyAlignment="1">
      <alignment horizontal="right" vertical="center"/>
    </xf>
    <xf numFmtId="41" fontId="62" fillId="0" borderId="9" xfId="0" applyNumberFormat="1" applyFont="1" applyFill="1" applyBorder="1" applyAlignment="1">
      <alignment horizontal="center" vertical="center"/>
    </xf>
    <xf numFmtId="41" fontId="62" fillId="0" borderId="9" xfId="1" applyFont="1" applyFill="1" applyBorder="1" applyAlignment="1">
      <alignment horizontal="center" vertical="center"/>
    </xf>
    <xf numFmtId="41" fontId="75" fillId="0" borderId="0" xfId="0" applyNumberFormat="1" applyFont="1" applyFill="1" applyBorder="1" applyAlignment="1">
      <alignment horizontal="left" vertical="center" indent="1" shrinkToFit="1"/>
    </xf>
    <xf numFmtId="41" fontId="62" fillId="0" borderId="0" xfId="0" applyNumberFormat="1" applyFont="1" applyFill="1" applyAlignment="1">
      <alignment horizontal="left" vertical="center"/>
    </xf>
    <xf numFmtId="0" fontId="62" fillId="0" borderId="0" xfId="0" applyFont="1" applyFill="1"/>
    <xf numFmtId="0" fontId="104" fillId="0" borderId="0" xfId="0" applyFont="1" applyFill="1"/>
    <xf numFmtId="41" fontId="62" fillId="0" borderId="0" xfId="1" applyFont="1" applyFill="1" applyBorder="1" applyAlignment="1">
      <alignment vertical="center" shrinkToFit="1"/>
    </xf>
    <xf numFmtId="41" fontId="75" fillId="0" borderId="0" xfId="1" applyFont="1" applyFill="1" applyBorder="1" applyAlignment="1">
      <alignment vertical="center" shrinkToFit="1"/>
    </xf>
    <xf numFmtId="177" fontId="62" fillId="0" borderId="0" xfId="1" applyNumberFormat="1" applyFont="1" applyFill="1" applyBorder="1" applyAlignment="1">
      <alignment horizontal="center" vertical="center"/>
    </xf>
    <xf numFmtId="178" fontId="105" fillId="0" borderId="0" xfId="3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98" fillId="3" borderId="0" xfId="0" applyFont="1" applyFill="1" applyBorder="1" applyAlignment="1">
      <alignment horizontal="center" vertical="center"/>
    </xf>
    <xf numFmtId="41" fontId="9" fillId="0" borderId="99" xfId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9" fontId="9" fillId="0" borderId="0" xfId="1" applyNumberFormat="1" applyFont="1" applyFill="1" applyBorder="1" applyAlignment="1">
      <alignment horizontal="right" vertical="center"/>
    </xf>
    <xf numFmtId="211" fontId="9" fillId="0" borderId="0" xfId="0" applyNumberFormat="1" applyFont="1" applyFill="1" applyBorder="1" applyAlignment="1">
      <alignment horizontal="center" vertical="center"/>
    </xf>
    <xf numFmtId="41" fontId="9" fillId="0" borderId="48" xfId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9" fillId="0" borderId="10" xfId="1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41" fontId="99" fillId="0" borderId="0" xfId="1" applyFont="1" applyBorder="1" applyAlignment="1">
      <alignment horizontal="center"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41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horizontal="left" vertical="center"/>
    </xf>
    <xf numFmtId="41" fontId="108" fillId="0" borderId="0" xfId="1" applyFont="1" applyFill="1" applyBorder="1" applyAlignment="1">
      <alignment vertical="center"/>
    </xf>
    <xf numFmtId="205" fontId="108" fillId="0" borderId="0" xfId="8" applyNumberFormat="1" applyFont="1" applyFill="1" applyBorder="1" applyAlignment="1">
      <alignment vertical="center"/>
    </xf>
    <xf numFmtId="41" fontId="108" fillId="0" borderId="0" xfId="0" applyNumberFormat="1" applyFont="1" applyFill="1" applyBorder="1" applyAlignment="1">
      <alignment vertical="center"/>
    </xf>
    <xf numFmtId="209" fontId="108" fillId="0" borderId="0" xfId="8" applyNumberFormat="1" applyFont="1" applyFill="1" applyBorder="1" applyAlignment="1">
      <alignment vertical="center"/>
    </xf>
    <xf numFmtId="41" fontId="106" fillId="0" borderId="0" xfId="1" applyFont="1" applyFill="1" applyBorder="1" applyAlignment="1">
      <alignment vertical="center"/>
    </xf>
    <xf numFmtId="210" fontId="108" fillId="0" borderId="0" xfId="8" applyNumberFormat="1" applyFont="1" applyFill="1" applyBorder="1" applyAlignment="1">
      <alignment vertical="center"/>
    </xf>
    <xf numFmtId="206" fontId="111" fillId="0" borderId="0" xfId="0" applyNumberFormat="1" applyFont="1" applyFill="1" applyBorder="1" applyAlignment="1">
      <alignment vertical="center"/>
    </xf>
    <xf numFmtId="41" fontId="106" fillId="0" borderId="0" xfId="0" applyNumberFormat="1" applyFont="1" applyFill="1" applyBorder="1" applyAlignment="1">
      <alignment vertical="center"/>
    </xf>
    <xf numFmtId="0" fontId="108" fillId="0" borderId="0" xfId="8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center" vertical="center"/>
    </xf>
    <xf numFmtId="207" fontId="111" fillId="0" borderId="0" xfId="0" applyNumberFormat="1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 indent="1"/>
    </xf>
    <xf numFmtId="41" fontId="110" fillId="0" borderId="0" xfId="1" applyFont="1" applyFill="1" applyBorder="1" applyAlignment="1">
      <alignment horizontal="right" vertical="center"/>
    </xf>
    <xf numFmtId="185" fontId="110" fillId="0" borderId="0" xfId="1" applyNumberFormat="1" applyFont="1" applyFill="1" applyBorder="1" applyAlignment="1">
      <alignment horizontal="center" vertical="center"/>
    </xf>
    <xf numFmtId="41" fontId="111" fillId="0" borderId="0" xfId="1" applyFont="1" applyFill="1" applyBorder="1" applyAlignment="1">
      <alignment horizontal="right" vertical="center"/>
    </xf>
    <xf numFmtId="41" fontId="111" fillId="0" borderId="0" xfId="0" applyNumberFormat="1" applyFont="1" applyFill="1" applyBorder="1" applyAlignment="1">
      <alignment horizontal="left" vertical="center"/>
    </xf>
    <xf numFmtId="41" fontId="111" fillId="0" borderId="0" xfId="1" applyFont="1" applyFill="1" applyBorder="1" applyAlignment="1">
      <alignment vertical="center"/>
    </xf>
    <xf numFmtId="185" fontId="110" fillId="0" borderId="0" xfId="1" applyNumberFormat="1" applyFont="1" applyFill="1" applyBorder="1" applyAlignment="1">
      <alignment vertical="center"/>
    </xf>
    <xf numFmtId="41" fontId="106" fillId="0" borderId="0" xfId="0" applyNumberFormat="1" applyFont="1" applyFill="1" applyBorder="1" applyAlignment="1">
      <alignment horizontal="center" vertical="center"/>
    </xf>
    <xf numFmtId="41" fontId="111" fillId="0" borderId="0" xfId="0" applyNumberFormat="1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horizontal="left" vertical="center" wrapText="1" indent="1"/>
    </xf>
    <xf numFmtId="185" fontId="110" fillId="0" borderId="0" xfId="1" applyNumberFormat="1" applyFont="1" applyFill="1" applyBorder="1" applyAlignment="1">
      <alignment horizontal="right" vertical="center"/>
    </xf>
    <xf numFmtId="208" fontId="106" fillId="0" borderId="0" xfId="1" applyNumberFormat="1" applyFont="1" applyFill="1" applyBorder="1" applyAlignment="1">
      <alignment vertical="center"/>
    </xf>
    <xf numFmtId="43" fontId="106" fillId="0" borderId="0" xfId="0" applyNumberFormat="1" applyFont="1" applyFill="1" applyBorder="1" applyAlignment="1">
      <alignment vertical="center"/>
    </xf>
    <xf numFmtId="0" fontId="114" fillId="0" borderId="0" xfId="0" applyFont="1" applyFill="1" applyBorder="1" applyAlignment="1">
      <alignment horizontal="left" vertical="center" indent="1"/>
    </xf>
    <xf numFmtId="176" fontId="113" fillId="0" borderId="0" xfId="1" applyNumberFormat="1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left" vertical="center"/>
    </xf>
    <xf numFmtId="185" fontId="110" fillId="0" borderId="0" xfId="1" applyNumberFormat="1" applyFont="1" applyFill="1" applyBorder="1" applyAlignment="1">
      <alignment horizontal="left" vertical="center"/>
    </xf>
    <xf numFmtId="176" fontId="110" fillId="0" borderId="0" xfId="1" applyNumberFormat="1" applyFont="1" applyFill="1" applyBorder="1" applyAlignment="1">
      <alignment horizontal="right" vertical="center"/>
    </xf>
    <xf numFmtId="41" fontId="110" fillId="0" borderId="0" xfId="1" applyFont="1" applyFill="1" applyBorder="1" applyAlignment="1">
      <alignment horizontal="right" vertical="center" shrinkToFit="1"/>
    </xf>
    <xf numFmtId="176" fontId="106" fillId="0" borderId="0" xfId="0" applyNumberFormat="1" applyFont="1" applyFill="1" applyBorder="1" applyAlignment="1">
      <alignment horizontal="center" vertical="center"/>
    </xf>
    <xf numFmtId="206" fontId="106" fillId="0" borderId="0" xfId="0" applyNumberFormat="1" applyFont="1" applyFill="1" applyBorder="1" applyAlignment="1">
      <alignment vertical="center"/>
    </xf>
    <xf numFmtId="0" fontId="114" fillId="0" borderId="0" xfId="0" applyFont="1" applyFill="1" applyBorder="1" applyAlignment="1">
      <alignment horizontal="left" vertical="center" wrapText="1" indent="1"/>
    </xf>
    <xf numFmtId="199" fontId="115" fillId="0" borderId="0" xfId="0" applyNumberFormat="1" applyFont="1" applyFill="1" applyBorder="1" applyAlignment="1">
      <alignment vertical="center"/>
    </xf>
    <xf numFmtId="199" fontId="106" fillId="0" borderId="0" xfId="0" applyNumberFormat="1" applyFont="1" applyFill="1" applyBorder="1" applyAlignment="1">
      <alignment vertical="center"/>
    </xf>
    <xf numFmtId="199" fontId="106" fillId="0" borderId="0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horizontal="center" vertical="center"/>
    </xf>
    <xf numFmtId="41" fontId="116" fillId="0" borderId="0" xfId="1" applyFont="1" applyFill="1" applyBorder="1" applyAlignment="1">
      <alignment horizontal="right" vertical="center"/>
    </xf>
    <xf numFmtId="180" fontId="117" fillId="0" borderId="0" xfId="0" applyNumberFormat="1" applyFont="1" applyFill="1" applyBorder="1" applyAlignment="1">
      <alignment horizontal="left" vertical="center"/>
    </xf>
    <xf numFmtId="41" fontId="111" fillId="0" borderId="0" xfId="0" applyNumberFormat="1" applyFont="1" applyFill="1" applyBorder="1" applyAlignment="1">
      <alignment horizontal="center" vertical="center"/>
    </xf>
    <xf numFmtId="41" fontId="111" fillId="0" borderId="0" xfId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/>
    </xf>
    <xf numFmtId="41" fontId="115" fillId="0" borderId="0" xfId="0" applyNumberFormat="1" applyFont="1" applyFill="1" applyBorder="1" applyAlignment="1">
      <alignment vertical="center"/>
    </xf>
    <xf numFmtId="0" fontId="110" fillId="3" borderId="0" xfId="0" applyFont="1" applyFill="1" applyBorder="1" applyAlignment="1">
      <alignment horizontal="center" vertical="center"/>
    </xf>
    <xf numFmtId="0" fontId="110" fillId="3" borderId="0" xfId="0" applyNumberFormat="1" applyFont="1" applyFill="1" applyBorder="1" applyAlignment="1">
      <alignment horizontal="center" vertical="center"/>
    </xf>
    <xf numFmtId="213" fontId="110" fillId="3" borderId="0" xfId="0" applyNumberFormat="1" applyFont="1" applyFill="1" applyBorder="1" applyAlignment="1">
      <alignment horizontal="center" vertical="center"/>
    </xf>
    <xf numFmtId="41" fontId="119" fillId="3" borderId="0" xfId="0" applyNumberFormat="1" applyFont="1" applyFill="1" applyBorder="1" applyAlignment="1">
      <alignment horizontal="center" vertical="center"/>
    </xf>
    <xf numFmtId="0" fontId="110" fillId="3" borderId="0" xfId="0" applyFont="1" applyFill="1" applyBorder="1" applyAlignment="1">
      <alignment horizontal="left" vertical="center"/>
    </xf>
    <xf numFmtId="41" fontId="118" fillId="3" borderId="0" xfId="1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98" fillId="0" borderId="0" xfId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 wrapText="1"/>
    </xf>
    <xf numFmtId="178" fontId="72" fillId="0" borderId="0" xfId="3" applyNumberFormat="1" applyFont="1" applyFill="1" applyBorder="1" applyAlignment="1">
      <alignment horizontal="right" vertical="center"/>
    </xf>
    <xf numFmtId="0" fontId="62" fillId="0" borderId="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41" fontId="62" fillId="0" borderId="2" xfId="1" applyFont="1" applyFill="1" applyBorder="1" applyAlignment="1">
      <alignment horizontal="center" vertical="center"/>
    </xf>
    <xf numFmtId="41" fontId="62" fillId="0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41" fontId="14" fillId="0" borderId="9" xfId="1" applyFont="1" applyFill="1" applyBorder="1" applyAlignment="1">
      <alignment horizontal="right" vertical="center"/>
    </xf>
    <xf numFmtId="41" fontId="14" fillId="0" borderId="48" xfId="1" applyFont="1" applyFill="1" applyBorder="1" applyAlignment="1">
      <alignment horizontal="right" vertical="center"/>
    </xf>
    <xf numFmtId="41" fontId="73" fillId="0" borderId="2" xfId="1" applyFont="1" applyFill="1" applyBorder="1" applyAlignment="1">
      <alignment horizontal="center" vertical="center"/>
    </xf>
    <xf numFmtId="0" fontId="122" fillId="0" borderId="0" xfId="0" applyFont="1" applyAlignment="1">
      <alignment horizontal="left" vertical="center"/>
    </xf>
    <xf numFmtId="0" fontId="123" fillId="0" borderId="0" xfId="0" applyFont="1" applyFill="1" applyAlignment="1">
      <alignment horizontal="center" vertical="center"/>
    </xf>
    <xf numFmtId="0" fontId="32" fillId="0" borderId="0" xfId="0" quotePrefix="1" applyFont="1" applyAlignment="1">
      <alignment horizontal="left"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25" fillId="0" borderId="0" xfId="0" quotePrefix="1" applyFont="1" applyAlignment="1">
      <alignment vertical="center"/>
    </xf>
    <xf numFmtId="0" fontId="25" fillId="0" borderId="0" xfId="0" applyFont="1" applyAlignment="1">
      <alignment vertical="center"/>
    </xf>
    <xf numFmtId="0" fontId="127" fillId="0" borderId="0" xfId="0" applyFont="1" applyAlignment="1"/>
    <xf numFmtId="0" fontId="128" fillId="0" borderId="0" xfId="0" applyFont="1"/>
    <xf numFmtId="0" fontId="9" fillId="0" borderId="0" xfId="0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134" fillId="0" borderId="0" xfId="0" applyFont="1" applyFill="1" applyAlignment="1">
      <alignment horizontal="center" vertical="center"/>
    </xf>
    <xf numFmtId="0" fontId="135" fillId="0" borderId="0" xfId="0" applyFont="1" applyAlignment="1">
      <alignment vertical="center"/>
    </xf>
    <xf numFmtId="0" fontId="5" fillId="0" borderId="0" xfId="0" quotePrefix="1" applyFont="1" applyAlignment="1"/>
    <xf numFmtId="0" fontId="0" fillId="0" borderId="0" xfId="0" applyFont="1" applyAlignment="1"/>
    <xf numFmtId="0" fontId="3" fillId="0" borderId="0" xfId="0" applyFont="1" applyAlignment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 vertical="center"/>
    </xf>
    <xf numFmtId="41" fontId="5" fillId="0" borderId="88" xfId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36" fillId="0" borderId="0" xfId="0" applyFont="1" applyBorder="1" applyAlignment="1">
      <alignment horizontal="center" vertical="center"/>
    </xf>
    <xf numFmtId="0" fontId="13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0" fillId="0" borderId="0" xfId="0" applyBorder="1"/>
    <xf numFmtId="0" fontId="23" fillId="0" borderId="0" xfId="0" applyFont="1" applyFill="1" applyBorder="1" applyAlignment="1">
      <alignment horizontal="center" vertical="center"/>
    </xf>
    <xf numFmtId="0" fontId="120" fillId="0" borderId="3" xfId="0" applyFont="1" applyBorder="1" applyAlignment="1">
      <alignment vertical="center"/>
    </xf>
    <xf numFmtId="0" fontId="120" fillId="0" borderId="5" xfId="0" applyFont="1" applyBorder="1" applyAlignment="1">
      <alignment vertical="center"/>
    </xf>
    <xf numFmtId="0" fontId="120" fillId="0" borderId="8" xfId="0" applyFont="1" applyBorder="1" applyAlignment="1">
      <alignment vertical="center"/>
    </xf>
    <xf numFmtId="0" fontId="120" fillId="0" borderId="1" xfId="0" applyFont="1" applyBorder="1" applyAlignment="1">
      <alignment vertical="center"/>
    </xf>
    <xf numFmtId="0" fontId="120" fillId="0" borderId="6" xfId="0" applyFont="1" applyBorder="1" applyAlignment="1">
      <alignment vertical="center"/>
    </xf>
    <xf numFmtId="0" fontId="120" fillId="0" borderId="6" xfId="0" applyFont="1" applyBorder="1" applyAlignment="1">
      <alignment horizontal="center" vertical="center"/>
    </xf>
    <xf numFmtId="0" fontId="120" fillId="0" borderId="18" xfId="0" applyFont="1" applyBorder="1" applyAlignment="1">
      <alignment vertical="center"/>
    </xf>
    <xf numFmtId="0" fontId="120" fillId="0" borderId="10" xfId="0" applyFont="1" applyBorder="1" applyAlignment="1">
      <alignment vertical="center"/>
    </xf>
    <xf numFmtId="0" fontId="120" fillId="0" borderId="19" xfId="0" applyFont="1" applyBorder="1" applyAlignment="1">
      <alignment vertical="center"/>
    </xf>
    <xf numFmtId="0" fontId="120" fillId="0" borderId="19" xfId="0" applyFont="1" applyBorder="1" applyAlignment="1">
      <alignment horizontal="center" vertical="center"/>
    </xf>
    <xf numFmtId="0" fontId="120" fillId="0" borderId="4" xfId="0" applyFont="1" applyBorder="1" applyAlignment="1">
      <alignment horizontal="center" vertical="center"/>
    </xf>
    <xf numFmtId="0" fontId="120" fillId="0" borderId="9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20" fillId="0" borderId="7" xfId="0" applyFont="1" applyBorder="1" applyAlignment="1">
      <alignment vertical="center"/>
    </xf>
    <xf numFmtId="0" fontId="137" fillId="0" borderId="1" xfId="0" applyFont="1" applyBorder="1" applyAlignment="1">
      <alignment vertical="center"/>
    </xf>
    <xf numFmtId="0" fontId="137" fillId="0" borderId="6" xfId="0" applyFont="1" applyBorder="1" applyAlignment="1">
      <alignment vertical="center"/>
    </xf>
    <xf numFmtId="0" fontId="73" fillId="0" borderId="1" xfId="0" applyFont="1" applyFill="1" applyBorder="1" applyAlignment="1">
      <alignment horizontal="center" vertical="center"/>
    </xf>
    <xf numFmtId="41" fontId="73" fillId="0" borderId="1" xfId="0" applyNumberFormat="1" applyFont="1" applyFill="1" applyBorder="1" applyAlignment="1">
      <alignment horizontal="center" vertical="center"/>
    </xf>
    <xf numFmtId="176" fontId="73" fillId="0" borderId="1" xfId="1" applyNumberFormat="1" applyFont="1" applyFill="1" applyBorder="1" applyAlignment="1">
      <alignment horizontal="right" vertical="center" indent="2"/>
    </xf>
    <xf numFmtId="176" fontId="73" fillId="0" borderId="1" xfId="0" applyNumberFormat="1" applyFont="1" applyFill="1" applyBorder="1" applyAlignment="1">
      <alignment horizontal="right" vertical="center" indent="2"/>
    </xf>
    <xf numFmtId="211" fontId="14" fillId="0" borderId="98" xfId="0" applyNumberFormat="1" applyFont="1" applyFill="1" applyBorder="1" applyAlignment="1">
      <alignment horizontal="center" vertical="center"/>
    </xf>
    <xf numFmtId="49" fontId="84" fillId="0" borderId="13" xfId="0" applyNumberFormat="1" applyFont="1" applyBorder="1" applyAlignment="1">
      <alignment horizontal="center" vertical="center" wrapText="1"/>
    </xf>
    <xf numFmtId="49" fontId="91" fillId="0" borderId="100" xfId="0" applyNumberFormat="1" applyFont="1" applyBorder="1" applyAlignment="1">
      <alignment horizontal="center" vertical="center" wrapText="1"/>
    </xf>
    <xf numFmtId="211" fontId="91" fillId="0" borderId="93" xfId="0" applyNumberFormat="1" applyFont="1" applyBorder="1" applyAlignment="1">
      <alignment horizontal="center" vertical="center" wrapText="1"/>
    </xf>
    <xf numFmtId="213" fontId="138" fillId="0" borderId="100" xfId="0" applyNumberFormat="1" applyFont="1" applyBorder="1" applyAlignment="1">
      <alignment horizontal="center" vertical="center" wrapText="1"/>
    </xf>
    <xf numFmtId="0" fontId="138" fillId="0" borderId="100" xfId="0" applyFont="1" applyBorder="1" applyAlignment="1">
      <alignment horizontal="center" vertical="center" wrapText="1"/>
    </xf>
    <xf numFmtId="176" fontId="91" fillId="0" borderId="7" xfId="0" applyNumberFormat="1" applyFont="1" applyBorder="1" applyAlignment="1">
      <alignment horizontal="right" vertical="center" wrapText="1"/>
    </xf>
    <xf numFmtId="41" fontId="14" fillId="0" borderId="95" xfId="1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Continuous" vertical="center"/>
    </xf>
    <xf numFmtId="0" fontId="98" fillId="0" borderId="0" xfId="0" applyFont="1" applyFill="1" applyBorder="1"/>
    <xf numFmtId="0" fontId="61" fillId="0" borderId="0" xfId="0" applyFont="1" applyFill="1" applyBorder="1" applyAlignment="1">
      <alignment horizontal="center" vertical="center"/>
    </xf>
    <xf numFmtId="41" fontId="73" fillId="0" borderId="13" xfId="0" applyNumberFormat="1" applyFont="1" applyFill="1" applyBorder="1" applyAlignment="1">
      <alignment horizontal="center" vertical="center" shrinkToFit="1"/>
    </xf>
    <xf numFmtId="41" fontId="65" fillId="0" borderId="0" xfId="0" applyNumberFormat="1" applyFont="1" applyBorder="1" applyAlignment="1">
      <alignment horizontal="center" vertical="center"/>
    </xf>
    <xf numFmtId="41" fontId="106" fillId="0" borderId="0" xfId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41" fontId="110" fillId="0" borderId="0" xfId="1" applyFont="1" applyFill="1" applyBorder="1" applyAlignment="1">
      <alignment horizontal="center" vertical="center" shrinkToFit="1"/>
    </xf>
    <xf numFmtId="0" fontId="108" fillId="0" borderId="0" xfId="0" applyFont="1" applyFill="1" applyBorder="1" applyAlignment="1">
      <alignment horizontal="center" vertical="center"/>
    </xf>
    <xf numFmtId="41" fontId="110" fillId="0" borderId="0" xfId="1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06" fillId="3" borderId="0" xfId="0" applyFont="1" applyFill="1" applyBorder="1" applyAlignment="1">
      <alignment vertical="center"/>
    </xf>
    <xf numFmtId="0" fontId="110" fillId="3" borderId="0" xfId="0" applyFont="1" applyFill="1" applyBorder="1" applyAlignment="1">
      <alignment horizontal="center" vertical="center" shrinkToFit="1"/>
    </xf>
    <xf numFmtId="0" fontId="118" fillId="3" borderId="0" xfId="0" applyFont="1" applyFill="1" applyBorder="1" applyAlignment="1">
      <alignment horizontal="right" shrinkToFit="1"/>
    </xf>
    <xf numFmtId="41" fontId="118" fillId="3" borderId="0" xfId="1" applyFont="1" applyFill="1" applyBorder="1" applyAlignment="1">
      <alignment horizontal="right" shrinkToFit="1"/>
    </xf>
    <xf numFmtId="177" fontId="110" fillId="3" borderId="0" xfId="1" applyNumberFormat="1" applyFont="1" applyFill="1" applyBorder="1" applyAlignment="1">
      <alignment horizontal="left" vertical="center"/>
    </xf>
    <xf numFmtId="41" fontId="112" fillId="3" borderId="0" xfId="1" applyFont="1" applyFill="1" applyBorder="1" applyAlignment="1">
      <alignment horizontal="right" vertical="center"/>
    </xf>
    <xf numFmtId="182" fontId="110" fillId="3" borderId="0" xfId="1" applyNumberFormat="1" applyFont="1" applyFill="1" applyBorder="1" applyAlignment="1">
      <alignment horizontal="center" vertical="center"/>
    </xf>
    <xf numFmtId="41" fontId="110" fillId="3" borderId="0" xfId="0" applyNumberFormat="1" applyFont="1" applyFill="1" applyBorder="1" applyAlignment="1">
      <alignment horizontal="center" vertical="center"/>
    </xf>
    <xf numFmtId="179" fontId="110" fillId="3" borderId="0" xfId="1" applyNumberFormat="1" applyFont="1" applyFill="1" applyBorder="1" applyAlignment="1">
      <alignment horizontal="right" vertical="center"/>
    </xf>
    <xf numFmtId="0" fontId="110" fillId="3" borderId="0" xfId="0" applyFont="1" applyFill="1" applyBorder="1" applyAlignment="1">
      <alignment vertical="center"/>
    </xf>
    <xf numFmtId="41" fontId="110" fillId="3" borderId="0" xfId="1" applyNumberFormat="1" applyFont="1" applyFill="1" applyBorder="1" applyAlignment="1">
      <alignment horizontal="center" vertical="center"/>
    </xf>
    <xf numFmtId="176" fontId="110" fillId="3" borderId="0" xfId="0" applyNumberFormat="1" applyFont="1" applyFill="1" applyBorder="1" applyAlignment="1">
      <alignment horizontal="center" vertical="center"/>
    </xf>
    <xf numFmtId="41" fontId="110" fillId="3" borderId="0" xfId="1" applyFont="1" applyFill="1" applyBorder="1" applyAlignment="1">
      <alignment horizontal="right" vertical="center" indent="2"/>
    </xf>
    <xf numFmtId="41" fontId="110" fillId="3" borderId="0" xfId="0" applyNumberFormat="1" applyFont="1" applyFill="1" applyBorder="1" applyAlignment="1">
      <alignment horizontal="right" vertical="center" indent="2"/>
    </xf>
    <xf numFmtId="0" fontId="62" fillId="3" borderId="0" xfId="0" applyFont="1" applyFill="1" applyAlignment="1">
      <alignment vertical="center"/>
    </xf>
    <xf numFmtId="0" fontId="0" fillId="3" borderId="0" xfId="0" applyFont="1" applyFill="1"/>
    <xf numFmtId="185" fontId="62" fillId="3" borderId="0" xfId="1" applyNumberFormat="1" applyFont="1" applyFill="1" applyAlignment="1">
      <alignment vertical="center"/>
    </xf>
    <xf numFmtId="0" fontId="62" fillId="3" borderId="0" xfId="0" applyFont="1" applyFill="1" applyAlignment="1">
      <alignment horizontal="left" vertical="center"/>
    </xf>
    <xf numFmtId="204" fontId="9" fillId="3" borderId="0" xfId="0" applyNumberFormat="1" applyFont="1" applyFill="1" applyBorder="1" applyAlignment="1">
      <alignment horizontal="center" vertical="center"/>
    </xf>
    <xf numFmtId="177" fontId="9" fillId="3" borderId="0" xfId="1" applyNumberFormat="1" applyFont="1" applyFill="1" applyBorder="1" applyAlignment="1">
      <alignment horizontal="left" vertical="center"/>
    </xf>
    <xf numFmtId="204" fontId="9" fillId="3" borderId="0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41" fontId="9" fillId="3" borderId="2" xfId="1" applyNumberFormat="1" applyFont="1" applyFill="1" applyBorder="1" applyAlignment="1">
      <alignment horizontal="center" vertical="center"/>
    </xf>
    <xf numFmtId="183" fontId="15" fillId="3" borderId="2" xfId="1" applyNumberFormat="1" applyFont="1" applyFill="1" applyBorder="1" applyAlignment="1">
      <alignment horizontal="center" vertical="center"/>
    </xf>
    <xf numFmtId="184" fontId="9" fillId="3" borderId="2" xfId="1" applyNumberFormat="1" applyFont="1" applyFill="1" applyBorder="1" applyAlignment="1">
      <alignment horizontal="center" vertical="center"/>
    </xf>
    <xf numFmtId="41" fontId="9" fillId="3" borderId="2" xfId="1" applyFont="1" applyFill="1" applyBorder="1" applyAlignment="1">
      <alignment horizontal="right" vertical="center" indent="1"/>
    </xf>
    <xf numFmtId="41" fontId="9" fillId="3" borderId="0" xfId="0" applyNumberFormat="1" applyFont="1" applyFill="1" applyBorder="1" applyAlignment="1">
      <alignment horizontal="right" vertical="center" indent="2"/>
    </xf>
    <xf numFmtId="41" fontId="62" fillId="3" borderId="0" xfId="0" applyNumberFormat="1" applyFont="1" applyFill="1" applyAlignment="1">
      <alignment vertical="center"/>
    </xf>
    <xf numFmtId="0" fontId="98" fillId="3" borderId="0" xfId="0" applyFont="1" applyFill="1" applyBorder="1" applyAlignment="1">
      <alignment vertical="center"/>
    </xf>
    <xf numFmtId="0" fontId="139" fillId="3" borderId="0" xfId="0" applyFont="1" applyFill="1" applyBorder="1" applyAlignment="1">
      <alignment horizontal="center" vertical="center"/>
    </xf>
    <xf numFmtId="179" fontId="139" fillId="3" borderId="0" xfId="1" applyNumberFormat="1" applyFont="1" applyFill="1" applyBorder="1" applyAlignment="1">
      <alignment horizontal="right" vertical="center"/>
    </xf>
    <xf numFmtId="178" fontId="139" fillId="3" borderId="0" xfId="0" applyNumberFormat="1" applyFont="1" applyFill="1" applyBorder="1" applyAlignment="1">
      <alignment horizontal="right" vertical="center"/>
    </xf>
    <xf numFmtId="0" fontId="9" fillId="3" borderId="2" xfId="0" applyNumberFormat="1" applyFont="1" applyFill="1" applyBorder="1" applyAlignment="1">
      <alignment horizontal="left" vertical="center"/>
    </xf>
    <xf numFmtId="41" fontId="90" fillId="3" borderId="2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 wrapText="1" shrinkToFit="1"/>
    </xf>
    <xf numFmtId="0" fontId="141" fillId="0" borderId="13" xfId="0" applyFont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left" vertical="center" shrinkToFit="1"/>
    </xf>
    <xf numFmtId="0" fontId="77" fillId="0" borderId="5" xfId="0" applyFont="1" applyFill="1" applyBorder="1" applyAlignment="1">
      <alignment horizontal="left" vertical="center" shrinkToFit="1"/>
    </xf>
    <xf numFmtId="0" fontId="77" fillId="0" borderId="4" xfId="0" applyFont="1" applyFill="1" applyBorder="1" applyAlignment="1">
      <alignment horizontal="left" vertical="center" shrinkToFi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left" vertical="center" shrinkToFit="1"/>
    </xf>
    <xf numFmtId="0" fontId="136" fillId="0" borderId="0" xfId="0" applyFont="1" applyBorder="1" applyAlignment="1">
      <alignment horizontal="left" vertical="center"/>
    </xf>
    <xf numFmtId="0" fontId="25" fillId="0" borderId="101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42" fillId="0" borderId="102" xfId="0" applyFont="1" applyBorder="1" applyAlignment="1">
      <alignment horizontal="center" vertical="center" wrapText="1"/>
    </xf>
    <xf numFmtId="0" fontId="28" fillId="0" borderId="0" xfId="0" quotePrefix="1" applyFont="1" applyAlignment="1">
      <alignment vertical="center"/>
    </xf>
    <xf numFmtId="0" fontId="1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44" fillId="0" borderId="3" xfId="0" applyFont="1" applyFill="1" applyBorder="1" applyAlignment="1">
      <alignment vertical="center"/>
    </xf>
    <xf numFmtId="0" fontId="145" fillId="0" borderId="0" xfId="0" applyFont="1" applyFill="1" applyAlignment="1">
      <alignment horizontal="center" vertical="center"/>
    </xf>
    <xf numFmtId="0" fontId="146" fillId="0" borderId="0" xfId="0" applyFont="1" applyFill="1" applyAlignment="1">
      <alignment horizontal="center" vertical="center"/>
    </xf>
    <xf numFmtId="41" fontId="145" fillId="0" borderId="0" xfId="1" applyFont="1" applyFill="1" applyAlignment="1">
      <alignment horizontal="center" vertical="center"/>
    </xf>
    <xf numFmtId="0" fontId="147" fillId="0" borderId="10" xfId="0" applyFont="1" applyFill="1" applyBorder="1" applyAlignment="1">
      <alignment vertical="center"/>
    </xf>
    <xf numFmtId="0" fontId="146" fillId="0" borderId="0" xfId="0" applyFont="1" applyFill="1" applyAlignment="1">
      <alignment vertical="center"/>
    </xf>
    <xf numFmtId="0" fontId="148" fillId="0" borderId="2" xfId="0" applyFont="1" applyFill="1" applyBorder="1" applyAlignment="1">
      <alignment horizontal="center" vertical="center"/>
    </xf>
    <xf numFmtId="0" fontId="145" fillId="0" borderId="2" xfId="0" applyFont="1" applyFill="1" applyBorder="1" applyAlignment="1">
      <alignment horizontal="center" vertical="center"/>
    </xf>
    <xf numFmtId="0" fontId="148" fillId="0" borderId="18" xfId="0" applyFont="1" applyFill="1" applyBorder="1" applyAlignment="1">
      <alignment horizontal="distributed" vertical="center"/>
    </xf>
    <xf numFmtId="41" fontId="148" fillId="0" borderId="12" xfId="1" applyFont="1" applyFill="1" applyBorder="1" applyAlignment="1">
      <alignment horizontal="center" vertical="center"/>
    </xf>
    <xf numFmtId="0" fontId="148" fillId="0" borderId="2" xfId="0" applyFont="1" applyFill="1" applyBorder="1" applyAlignment="1">
      <alignment horizontal="distributed" vertical="center"/>
    </xf>
    <xf numFmtId="41" fontId="148" fillId="0" borderId="2" xfId="1" applyFont="1" applyFill="1" applyBorder="1" applyAlignment="1">
      <alignment horizontal="center" vertical="center"/>
    </xf>
    <xf numFmtId="0" fontId="148" fillId="0" borderId="3" xfId="0" applyFont="1" applyFill="1" applyBorder="1" applyAlignment="1">
      <alignment horizontal="distributed" vertical="center"/>
    </xf>
    <xf numFmtId="0" fontId="149" fillId="0" borderId="2" xfId="0" applyFont="1" applyFill="1" applyBorder="1" applyAlignment="1">
      <alignment horizontal="center" vertical="center"/>
    </xf>
    <xf numFmtId="0" fontId="149" fillId="0" borderId="2" xfId="0" applyFont="1" applyFill="1" applyBorder="1" applyAlignment="1">
      <alignment horizontal="center" vertical="center" wrapText="1"/>
    </xf>
    <xf numFmtId="0" fontId="149" fillId="0" borderId="2" xfId="0" applyFont="1" applyFill="1" applyBorder="1" applyAlignment="1">
      <alignment horizontal="left" vertical="center" wrapText="1"/>
    </xf>
    <xf numFmtId="0" fontId="149" fillId="0" borderId="2" xfId="0" applyFont="1" applyFill="1" applyBorder="1" applyAlignment="1">
      <alignment horizontal="left" vertical="center" wrapText="1" shrinkToFit="1"/>
    </xf>
    <xf numFmtId="0" fontId="96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8" fillId="0" borderId="0" xfId="0" quotePrefix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2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shrinkToFit="1"/>
    </xf>
    <xf numFmtId="0" fontId="132" fillId="0" borderId="0" xfId="5" applyFont="1" applyAlignment="1" applyProtection="1">
      <alignment horizontal="left"/>
    </xf>
    <xf numFmtId="0" fontId="120" fillId="0" borderId="8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  <xf numFmtId="0" fontId="120" fillId="0" borderId="6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20" fillId="0" borderId="9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20" fillId="0" borderId="7" xfId="0" applyFont="1" applyBorder="1" applyAlignment="1">
      <alignment horizontal="center" vertical="center"/>
    </xf>
    <xf numFmtId="0" fontId="136" fillId="0" borderId="0" xfId="0" applyFont="1" applyAlignment="1">
      <alignment horizontal="left" vertical="center" shrinkToFit="1"/>
    </xf>
    <xf numFmtId="0" fontId="136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20" fillId="0" borderId="3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0" fillId="0" borderId="4" xfId="0" applyFont="1" applyBorder="1" applyAlignment="1">
      <alignment horizontal="center" vertical="center"/>
    </xf>
    <xf numFmtId="0" fontId="120" fillId="0" borderId="8" xfId="0" applyFont="1" applyBorder="1" applyAlignment="1">
      <alignment horizontal="left" vertical="center"/>
    </xf>
    <xf numFmtId="0" fontId="120" fillId="0" borderId="1" xfId="0" applyFont="1" applyBorder="1" applyAlignment="1">
      <alignment horizontal="left" vertical="center"/>
    </xf>
    <xf numFmtId="0" fontId="120" fillId="0" borderId="6" xfId="0" applyFont="1" applyBorder="1" applyAlignment="1">
      <alignment horizontal="left" vertical="center"/>
    </xf>
    <xf numFmtId="0" fontId="120" fillId="0" borderId="18" xfId="0" applyFont="1" applyBorder="1" applyAlignment="1">
      <alignment horizontal="left" vertical="center"/>
    </xf>
    <xf numFmtId="0" fontId="120" fillId="0" borderId="10" xfId="0" applyFont="1" applyBorder="1" applyAlignment="1">
      <alignment horizontal="left" vertical="center"/>
    </xf>
    <xf numFmtId="0" fontId="120" fillId="0" borderId="19" xfId="0" applyFont="1" applyBorder="1" applyAlignment="1">
      <alignment horizontal="left" vertical="center"/>
    </xf>
    <xf numFmtId="0" fontId="9" fillId="0" borderId="0" xfId="0" applyFont="1" applyFill="1" applyAlignment="1">
      <alignment horizontal="left" wrapText="1" shrinkToFit="1"/>
    </xf>
    <xf numFmtId="0" fontId="9" fillId="0" borderId="0" xfId="0" applyFont="1" applyFill="1" applyAlignment="1">
      <alignment horizontal="left" vertical="center" wrapText="1" shrinkToFit="1"/>
    </xf>
    <xf numFmtId="0" fontId="77" fillId="0" borderId="3" xfId="0" applyFont="1" applyFill="1" applyBorder="1" applyAlignment="1">
      <alignment horizontal="left" vertical="center" shrinkToFit="1"/>
    </xf>
    <xf numFmtId="0" fontId="77" fillId="0" borderId="5" xfId="0" applyFont="1" applyFill="1" applyBorder="1" applyAlignment="1">
      <alignment horizontal="left" vertical="center" shrinkToFit="1"/>
    </xf>
    <xf numFmtId="0" fontId="77" fillId="0" borderId="4" xfId="0" applyFont="1" applyFill="1" applyBorder="1" applyAlignment="1">
      <alignment horizontal="left" vertical="center" shrinkToFit="1"/>
    </xf>
    <xf numFmtId="0" fontId="62" fillId="0" borderId="2" xfId="0" applyNumberFormat="1" applyFont="1" applyFill="1" applyBorder="1" applyAlignment="1">
      <alignment horizontal="distributed" vertical="center"/>
    </xf>
    <xf numFmtId="41" fontId="62" fillId="0" borderId="2" xfId="0" applyNumberFormat="1" applyFont="1" applyFill="1" applyBorder="1" applyAlignment="1">
      <alignment horizontal="center" vertical="center"/>
    </xf>
    <xf numFmtId="186" fontId="62" fillId="0" borderId="2" xfId="0" applyNumberFormat="1" applyFont="1" applyFill="1" applyBorder="1" applyAlignment="1">
      <alignment horizontal="center" vertical="center"/>
    </xf>
    <xf numFmtId="0" fontId="87" fillId="0" borderId="2" xfId="0" applyFont="1" applyFill="1" applyBorder="1" applyAlignment="1">
      <alignment horizontal="left" vertical="center"/>
    </xf>
    <xf numFmtId="0" fontId="88" fillId="0" borderId="0" xfId="0" applyFont="1" applyFill="1" applyAlignment="1">
      <alignment horizontal="left" vertical="center"/>
    </xf>
    <xf numFmtId="0" fontId="61" fillId="0" borderId="2" xfId="0" applyFont="1" applyFill="1" applyBorder="1" applyAlignment="1">
      <alignment horizontal="center" vertical="center"/>
    </xf>
    <xf numFmtId="0" fontId="140" fillId="0" borderId="2" xfId="0" applyFont="1" applyFill="1" applyBorder="1" applyAlignment="1">
      <alignment horizontal="center" vertical="center"/>
    </xf>
    <xf numFmtId="0" fontId="87" fillId="0" borderId="2" xfId="0" applyFont="1" applyFill="1" applyBorder="1" applyAlignment="1">
      <alignment horizontal="center" vertical="center"/>
    </xf>
    <xf numFmtId="41" fontId="87" fillId="0" borderId="2" xfId="1" applyFont="1" applyFill="1" applyBorder="1" applyAlignment="1">
      <alignment horizontal="center" vertical="center"/>
    </xf>
    <xf numFmtId="41" fontId="87" fillId="0" borderId="2" xfId="0" applyNumberFormat="1" applyFont="1" applyFill="1" applyBorder="1" applyAlignment="1">
      <alignment horizontal="center" vertical="center"/>
    </xf>
    <xf numFmtId="41" fontId="87" fillId="0" borderId="9" xfId="1" applyFont="1" applyFill="1" applyBorder="1" applyAlignment="1">
      <alignment horizontal="center" vertical="center"/>
    </xf>
    <xf numFmtId="41" fontId="87" fillId="0" borderId="0" xfId="1" applyFont="1" applyFill="1" applyBorder="1" applyAlignment="1">
      <alignment horizontal="center" vertical="center"/>
    </xf>
    <xf numFmtId="41" fontId="87" fillId="0" borderId="7" xfId="1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41" fontId="87" fillId="0" borderId="3" xfId="1" applyFont="1" applyFill="1" applyBorder="1" applyAlignment="1">
      <alignment horizontal="center" vertical="center"/>
    </xf>
    <xf numFmtId="41" fontId="87" fillId="0" borderId="5" xfId="1" applyFont="1" applyFill="1" applyBorder="1" applyAlignment="1">
      <alignment horizontal="center" vertical="center"/>
    </xf>
    <xf numFmtId="41" fontId="87" fillId="0" borderId="4" xfId="1" applyFont="1" applyFill="1" applyBorder="1" applyAlignment="1">
      <alignment horizontal="center" vertical="center"/>
    </xf>
    <xf numFmtId="41" fontId="62" fillId="0" borderId="11" xfId="0" applyNumberFormat="1" applyFont="1" applyFill="1" applyBorder="1" applyAlignment="1">
      <alignment horizontal="center" vertical="center"/>
    </xf>
    <xf numFmtId="191" fontId="62" fillId="0" borderId="38" xfId="0" applyNumberFormat="1" applyFont="1" applyFill="1" applyBorder="1" applyAlignment="1">
      <alignment horizontal="center" vertical="center"/>
    </xf>
    <xf numFmtId="191" fontId="62" fillId="0" borderId="12" xfId="0" applyNumberFormat="1" applyFont="1" applyFill="1" applyBorder="1" applyAlignment="1">
      <alignment horizontal="center" vertical="center"/>
    </xf>
    <xf numFmtId="41" fontId="62" fillId="0" borderId="3" xfId="1" applyFont="1" applyFill="1" applyBorder="1" applyAlignment="1">
      <alignment horizontal="center" vertical="center" shrinkToFit="1"/>
    </xf>
    <xf numFmtId="41" fontId="62" fillId="0" borderId="5" xfId="1" applyFont="1" applyFill="1" applyBorder="1" applyAlignment="1">
      <alignment horizontal="center" vertical="center" shrinkToFit="1"/>
    </xf>
    <xf numFmtId="41" fontId="62" fillId="0" borderId="4" xfId="1" applyFont="1" applyFill="1" applyBorder="1" applyAlignment="1">
      <alignment horizontal="center" vertical="center" shrinkToFit="1"/>
    </xf>
    <xf numFmtId="41" fontId="62" fillId="0" borderId="20" xfId="1" applyFont="1" applyFill="1" applyBorder="1" applyAlignment="1">
      <alignment horizontal="center" vertical="center" shrinkToFit="1"/>
    </xf>
    <xf numFmtId="41" fontId="62" fillId="0" borderId="21" xfId="1" applyFont="1" applyFill="1" applyBorder="1" applyAlignment="1">
      <alignment horizontal="center" vertical="center" shrinkToFit="1"/>
    </xf>
    <xf numFmtId="41" fontId="62" fillId="0" borderId="22" xfId="1" applyFont="1" applyFill="1" applyBorder="1" applyAlignment="1">
      <alignment horizontal="center" vertical="center" shrinkToFit="1"/>
    </xf>
    <xf numFmtId="41" fontId="62" fillId="0" borderId="12" xfId="0" applyNumberFormat="1" applyFont="1" applyFill="1" applyBorder="1" applyAlignment="1">
      <alignment horizontal="center" vertical="center"/>
    </xf>
    <xf numFmtId="176" fontId="62" fillId="0" borderId="2" xfId="1" applyNumberFormat="1" applyFont="1" applyFill="1" applyBorder="1" applyAlignment="1">
      <alignment horizontal="right" vertical="center" indent="2"/>
    </xf>
    <xf numFmtId="194" fontId="62" fillId="0" borderId="38" xfId="0" applyNumberFormat="1" applyFont="1" applyFill="1" applyBorder="1" applyAlignment="1">
      <alignment horizontal="center" vertical="center"/>
    </xf>
    <xf numFmtId="194" fontId="62" fillId="0" borderId="13" xfId="0" applyNumberFormat="1" applyFont="1" applyFill="1" applyBorder="1" applyAlignment="1">
      <alignment horizontal="center" vertical="center"/>
    </xf>
    <xf numFmtId="194" fontId="62" fillId="0" borderId="12" xfId="0" applyNumberFormat="1" applyFont="1" applyFill="1" applyBorder="1" applyAlignment="1">
      <alignment horizontal="center" vertical="center"/>
    </xf>
    <xf numFmtId="191" fontId="62" fillId="0" borderId="13" xfId="1" applyNumberFormat="1" applyFont="1" applyFill="1" applyBorder="1" applyAlignment="1">
      <alignment horizontal="center" vertical="center"/>
    </xf>
    <xf numFmtId="191" fontId="62" fillId="0" borderId="12" xfId="1" applyNumberFormat="1" applyFont="1" applyFill="1" applyBorder="1" applyAlignment="1">
      <alignment horizontal="center" vertical="center"/>
    </xf>
    <xf numFmtId="186" fontId="62" fillId="0" borderId="23" xfId="0" applyNumberFormat="1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177" fontId="73" fillId="0" borderId="38" xfId="1" applyNumberFormat="1" applyFont="1" applyFill="1" applyBorder="1" applyAlignment="1">
      <alignment horizontal="center" vertical="center"/>
    </xf>
    <xf numFmtId="177" fontId="73" fillId="0" borderId="13" xfId="1" applyNumberFormat="1" applyFont="1" applyFill="1" applyBorder="1" applyAlignment="1">
      <alignment horizontal="center" vertical="center"/>
    </xf>
    <xf numFmtId="177" fontId="73" fillId="0" borderId="12" xfId="1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192" fontId="62" fillId="0" borderId="10" xfId="1" applyNumberFormat="1" applyFont="1" applyFill="1" applyBorder="1" applyAlignment="1">
      <alignment horizontal="right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176" fontId="62" fillId="0" borderId="3" xfId="1" applyNumberFormat="1" applyFont="1" applyFill="1" applyBorder="1" applyAlignment="1">
      <alignment horizontal="right" vertical="center" indent="2"/>
    </xf>
    <xf numFmtId="176" fontId="62" fillId="0" borderId="5" xfId="1" applyNumberFormat="1" applyFont="1" applyFill="1" applyBorder="1" applyAlignment="1">
      <alignment horizontal="right" vertical="center" indent="2"/>
    </xf>
    <xf numFmtId="176" fontId="62" fillId="0" borderId="4" xfId="1" applyNumberFormat="1" applyFont="1" applyFill="1" applyBorder="1" applyAlignment="1">
      <alignment horizontal="right" vertical="center" indent="2"/>
    </xf>
    <xf numFmtId="43" fontId="73" fillId="0" borderId="41" xfId="1" applyNumberFormat="1" applyFont="1" applyFill="1" applyBorder="1" applyAlignment="1">
      <alignment horizontal="center" vertical="center" shrinkToFit="1"/>
    </xf>
    <xf numFmtId="43" fontId="73" fillId="0" borderId="40" xfId="1" applyNumberFormat="1" applyFont="1" applyFill="1" applyBorder="1" applyAlignment="1">
      <alignment horizontal="center" vertical="center" shrinkToFit="1"/>
    </xf>
    <xf numFmtId="43" fontId="73" fillId="0" borderId="9" xfId="1" applyNumberFormat="1" applyFont="1" applyFill="1" applyBorder="1" applyAlignment="1">
      <alignment horizontal="center" vertical="center" shrinkToFit="1"/>
    </xf>
    <xf numFmtId="43" fontId="73" fillId="0" borderId="7" xfId="1" applyNumberFormat="1" applyFont="1" applyFill="1" applyBorder="1" applyAlignment="1">
      <alignment horizontal="center" vertical="center" shrinkToFit="1"/>
    </xf>
    <xf numFmtId="43" fontId="73" fillId="0" borderId="18" xfId="1" applyNumberFormat="1" applyFont="1" applyFill="1" applyBorder="1" applyAlignment="1">
      <alignment horizontal="center" vertical="center" shrinkToFit="1"/>
    </xf>
    <xf numFmtId="43" fontId="73" fillId="0" borderId="19" xfId="1" applyNumberFormat="1" applyFont="1" applyFill="1" applyBorder="1" applyAlignment="1">
      <alignment horizontal="center" vertical="center" shrinkToFit="1"/>
    </xf>
    <xf numFmtId="186" fontId="62" fillId="0" borderId="12" xfId="0" applyNumberFormat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176" fontId="73" fillId="0" borderId="3" xfId="1" applyNumberFormat="1" applyFont="1" applyFill="1" applyBorder="1" applyAlignment="1">
      <alignment horizontal="right" vertical="center" indent="2"/>
    </xf>
    <xf numFmtId="176" fontId="73" fillId="0" borderId="5" xfId="1" applyNumberFormat="1" applyFont="1" applyFill="1" applyBorder="1" applyAlignment="1">
      <alignment horizontal="right" vertical="center" indent="2"/>
    </xf>
    <xf numFmtId="176" fontId="73" fillId="0" borderId="4" xfId="1" applyNumberFormat="1" applyFont="1" applyFill="1" applyBorder="1" applyAlignment="1">
      <alignment horizontal="right" vertical="center" indent="2"/>
    </xf>
    <xf numFmtId="176" fontId="73" fillId="0" borderId="3" xfId="0" applyNumberFormat="1" applyFont="1" applyFill="1" applyBorder="1" applyAlignment="1">
      <alignment horizontal="right" vertical="center" indent="2"/>
    </xf>
    <xf numFmtId="176" fontId="73" fillId="0" borderId="5" xfId="0" applyNumberFormat="1" applyFont="1" applyFill="1" applyBorder="1" applyAlignment="1">
      <alignment horizontal="right" vertical="center" indent="2"/>
    </xf>
    <xf numFmtId="176" fontId="73" fillId="0" borderId="4" xfId="0" applyNumberFormat="1" applyFont="1" applyFill="1" applyBorder="1" applyAlignment="1">
      <alignment horizontal="right" vertical="center" indent="2"/>
    </xf>
    <xf numFmtId="186" fontId="73" fillId="0" borderId="3" xfId="0" applyNumberFormat="1" applyFont="1" applyFill="1" applyBorder="1" applyAlignment="1">
      <alignment horizontal="center" vertical="center"/>
    </xf>
    <xf numFmtId="186" fontId="73" fillId="0" borderId="4" xfId="0" applyNumberFormat="1" applyFont="1" applyFill="1" applyBorder="1" applyAlignment="1">
      <alignment horizontal="center" vertical="center"/>
    </xf>
    <xf numFmtId="176" fontId="73" fillId="0" borderId="12" xfId="1" applyNumberFormat="1" applyFont="1" applyFill="1" applyBorder="1" applyAlignment="1">
      <alignment horizontal="right" vertical="center" indent="2"/>
    </xf>
    <xf numFmtId="176" fontId="62" fillId="0" borderId="3" xfId="0" applyNumberFormat="1" applyFont="1" applyFill="1" applyBorder="1" applyAlignment="1">
      <alignment horizontal="right" vertical="center" indent="2"/>
    </xf>
    <xf numFmtId="176" fontId="62" fillId="0" borderId="5" xfId="0" applyNumberFormat="1" applyFont="1" applyFill="1" applyBorder="1" applyAlignment="1">
      <alignment horizontal="right" vertical="center" indent="2"/>
    </xf>
    <xf numFmtId="176" fontId="62" fillId="0" borderId="4" xfId="0" applyNumberFormat="1" applyFont="1" applyFill="1" applyBorder="1" applyAlignment="1">
      <alignment horizontal="right" vertical="center" indent="2"/>
    </xf>
    <xf numFmtId="187" fontId="62" fillId="0" borderId="10" xfId="1" applyNumberFormat="1" applyFont="1" applyFill="1" applyBorder="1" applyAlignment="1">
      <alignment horizontal="center" vertical="center" shrinkToFit="1"/>
    </xf>
    <xf numFmtId="177" fontId="62" fillId="0" borderId="0" xfId="1" applyNumberFormat="1" applyFont="1" applyFill="1" applyBorder="1" applyAlignment="1">
      <alignment horizontal="left" vertical="center"/>
    </xf>
    <xf numFmtId="186" fontId="62" fillId="0" borderId="24" xfId="0" applyNumberFormat="1" applyFont="1" applyFill="1" applyBorder="1" applyAlignment="1">
      <alignment horizontal="center" vertical="center"/>
    </xf>
    <xf numFmtId="186" fontId="62" fillId="0" borderId="26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178" fontId="72" fillId="0" borderId="0" xfId="3" applyNumberFormat="1" applyFont="1" applyFill="1" applyBorder="1" applyAlignment="1">
      <alignment horizontal="right" vertical="center"/>
    </xf>
    <xf numFmtId="41" fontId="73" fillId="0" borderId="3" xfId="0" applyNumberFormat="1" applyFont="1" applyFill="1" applyBorder="1" applyAlignment="1">
      <alignment horizontal="center" vertical="center"/>
    </xf>
    <xf numFmtId="41" fontId="73" fillId="0" borderId="4" xfId="0" applyNumberFormat="1" applyFont="1" applyFill="1" applyBorder="1" applyAlignment="1">
      <alignment horizontal="center" vertical="center"/>
    </xf>
    <xf numFmtId="191" fontId="73" fillId="0" borderId="38" xfId="1" applyNumberFormat="1" applyFont="1" applyFill="1" applyBorder="1" applyAlignment="1">
      <alignment horizontal="center" vertical="center"/>
    </xf>
    <xf numFmtId="191" fontId="73" fillId="0" borderId="13" xfId="1" applyNumberFormat="1" applyFont="1" applyFill="1" applyBorder="1" applyAlignment="1">
      <alignment horizontal="center" vertical="center"/>
    </xf>
    <xf numFmtId="191" fontId="73" fillId="0" borderId="12" xfId="1" applyNumberFormat="1" applyFont="1" applyFill="1" applyBorder="1" applyAlignment="1">
      <alignment horizontal="center" vertical="center"/>
    </xf>
    <xf numFmtId="176" fontId="73" fillId="0" borderId="20" xfId="1" applyNumberFormat="1" applyFont="1" applyFill="1" applyBorder="1" applyAlignment="1">
      <alignment horizontal="right" vertical="center" indent="2"/>
    </xf>
    <xf numFmtId="176" fontId="73" fillId="0" borderId="21" xfId="1" applyNumberFormat="1" applyFont="1" applyFill="1" applyBorder="1" applyAlignment="1">
      <alignment horizontal="right" vertical="center" indent="2"/>
    </xf>
    <xf numFmtId="176" fontId="73" fillId="0" borderId="22" xfId="1" applyNumberFormat="1" applyFont="1" applyFill="1" applyBorder="1" applyAlignment="1">
      <alignment horizontal="right" vertical="center" indent="2"/>
    </xf>
    <xf numFmtId="186" fontId="73" fillId="0" borderId="20" xfId="0" applyNumberFormat="1" applyFont="1" applyFill="1" applyBorder="1" applyAlignment="1">
      <alignment horizontal="center" vertical="center"/>
    </xf>
    <xf numFmtId="186" fontId="73" fillId="0" borderId="22" xfId="0" applyNumberFormat="1" applyFont="1" applyFill="1" applyBorder="1" applyAlignment="1">
      <alignment horizontal="center" vertical="center"/>
    </xf>
    <xf numFmtId="41" fontId="73" fillId="0" borderId="20" xfId="0" applyNumberFormat="1" applyFont="1" applyFill="1" applyBorder="1" applyAlignment="1">
      <alignment horizontal="center" vertical="center"/>
    </xf>
    <xf numFmtId="41" fontId="73" fillId="0" borderId="22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186" fontId="73" fillId="0" borderId="2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/>
    </xf>
    <xf numFmtId="176" fontId="73" fillId="0" borderId="2" xfId="1" applyNumberFormat="1" applyFont="1" applyFill="1" applyBorder="1" applyAlignment="1">
      <alignment horizontal="right" vertical="center" indent="2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3" xfId="0" applyNumberFormat="1" applyFont="1" applyFill="1" applyBorder="1" applyAlignment="1">
      <alignment horizontal="distributed" vertical="center"/>
    </xf>
    <xf numFmtId="0" fontId="62" fillId="0" borderId="5" xfId="0" applyNumberFormat="1" applyFont="1" applyFill="1" applyBorder="1" applyAlignment="1">
      <alignment horizontal="distributed" vertical="center"/>
    </xf>
    <xf numFmtId="0" fontId="62" fillId="0" borderId="4" xfId="0" applyNumberFormat="1" applyFont="1" applyFill="1" applyBorder="1" applyAlignment="1">
      <alignment horizontal="distributed" vertical="center"/>
    </xf>
    <xf numFmtId="41" fontId="62" fillId="0" borderId="41" xfId="1" applyFont="1" applyFill="1" applyBorder="1" applyAlignment="1">
      <alignment horizontal="center" vertical="center"/>
    </xf>
    <xf numFmtId="41" fontId="62" fillId="0" borderId="66" xfId="1" applyFont="1" applyFill="1" applyBorder="1" applyAlignment="1">
      <alignment horizontal="center" vertical="center"/>
    </xf>
    <xf numFmtId="41" fontId="62" fillId="0" borderId="40" xfId="1" applyFont="1" applyFill="1" applyBorder="1" applyAlignment="1">
      <alignment horizontal="center" vertical="center"/>
    </xf>
    <xf numFmtId="41" fontId="62" fillId="0" borderId="2" xfId="1" applyFont="1" applyFill="1" applyBorder="1" applyAlignment="1">
      <alignment horizontal="center" vertical="center"/>
    </xf>
    <xf numFmtId="0" fontId="75" fillId="0" borderId="41" xfId="0" applyNumberFormat="1" applyFont="1" applyFill="1" applyBorder="1" applyAlignment="1">
      <alignment horizontal="center" vertical="center"/>
    </xf>
    <xf numFmtId="0" fontId="75" fillId="0" borderId="66" xfId="0" applyNumberFormat="1" applyFont="1" applyFill="1" applyBorder="1" applyAlignment="1">
      <alignment horizontal="center" vertical="center"/>
    </xf>
    <xf numFmtId="0" fontId="75" fillId="0" borderId="40" xfId="0" applyNumberFormat="1" applyFont="1" applyFill="1" applyBorder="1" applyAlignment="1">
      <alignment horizontal="center" vertical="center"/>
    </xf>
    <xf numFmtId="0" fontId="75" fillId="0" borderId="2" xfId="0" applyNumberFormat="1" applyFont="1" applyFill="1" applyBorder="1" applyAlignment="1">
      <alignment horizontal="center" vertical="center"/>
    </xf>
    <xf numFmtId="0" fontId="62" fillId="0" borderId="41" xfId="0" applyNumberFormat="1" applyFont="1" applyFill="1" applyBorder="1" applyAlignment="1">
      <alignment horizontal="center" vertical="center"/>
    </xf>
    <xf numFmtId="0" fontId="62" fillId="0" borderId="66" xfId="0" applyNumberFormat="1" applyFont="1" applyFill="1" applyBorder="1" applyAlignment="1">
      <alignment horizontal="center" vertical="center"/>
    </xf>
    <xf numFmtId="0" fontId="62" fillId="0" borderId="40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7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75" fillId="0" borderId="20" xfId="0" applyNumberFormat="1" applyFont="1" applyFill="1" applyBorder="1" applyAlignment="1">
      <alignment horizontal="left" vertical="center"/>
    </xf>
    <xf numFmtId="0" fontId="75" fillId="0" borderId="21" xfId="0" applyNumberFormat="1" applyFont="1" applyFill="1" applyBorder="1" applyAlignment="1">
      <alignment horizontal="left" vertical="center"/>
    </xf>
    <xf numFmtId="0" fontId="75" fillId="0" borderId="22" xfId="0" applyNumberFormat="1" applyFont="1" applyFill="1" applyBorder="1" applyAlignment="1">
      <alignment horizontal="left" vertical="center"/>
    </xf>
    <xf numFmtId="0" fontId="75" fillId="0" borderId="3" xfId="0" applyNumberFormat="1" applyFont="1" applyFill="1" applyBorder="1" applyAlignment="1">
      <alignment horizontal="left" vertical="center"/>
    </xf>
    <xf numFmtId="0" fontId="75" fillId="0" borderId="5" xfId="0" applyNumberFormat="1" applyFont="1" applyFill="1" applyBorder="1" applyAlignment="1">
      <alignment horizontal="left" vertical="center"/>
    </xf>
    <xf numFmtId="0" fontId="75" fillId="0" borderId="4" xfId="0" applyNumberFormat="1" applyFont="1" applyFill="1" applyBorder="1" applyAlignment="1">
      <alignment horizontal="left" vertical="center"/>
    </xf>
    <xf numFmtId="0" fontId="62" fillId="0" borderId="2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41" fontId="62" fillId="0" borderId="12" xfId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left" vertical="center"/>
    </xf>
    <xf numFmtId="0" fontId="62" fillId="0" borderId="10" xfId="0" applyNumberFormat="1" applyFont="1" applyFill="1" applyBorder="1" applyAlignment="1">
      <alignment horizontal="left" vertical="center"/>
    </xf>
    <xf numFmtId="0" fontId="62" fillId="0" borderId="19" xfId="0" applyNumberFormat="1" applyFont="1" applyFill="1" applyBorder="1" applyAlignment="1">
      <alignment horizontal="left" vertical="center"/>
    </xf>
    <xf numFmtId="177" fontId="62" fillId="0" borderId="2" xfId="0" applyNumberFormat="1" applyFont="1" applyFill="1" applyBorder="1" applyAlignment="1">
      <alignment horizontal="center" vertical="center"/>
    </xf>
    <xf numFmtId="186" fontId="62" fillId="0" borderId="54" xfId="0" applyNumberFormat="1" applyFont="1" applyFill="1" applyBorder="1" applyAlignment="1">
      <alignment horizontal="center" vertical="center"/>
    </xf>
    <xf numFmtId="176" fontId="62" fillId="0" borderId="12" xfId="1" applyNumberFormat="1" applyFont="1" applyFill="1" applyBorder="1" applyAlignment="1">
      <alignment horizontal="right" vertical="center" indent="2"/>
    </xf>
    <xf numFmtId="176" fontId="62" fillId="0" borderId="54" xfId="1" applyNumberFormat="1" applyFont="1" applyFill="1" applyBorder="1" applyAlignment="1">
      <alignment horizontal="right" vertical="center" indent="2"/>
    </xf>
    <xf numFmtId="0" fontId="75" fillId="0" borderId="1" xfId="0" applyFont="1" applyFill="1" applyBorder="1" applyAlignment="1">
      <alignment horizontal="left" vertical="center"/>
    </xf>
    <xf numFmtId="177" fontId="75" fillId="0" borderId="2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192" fontId="62" fillId="0" borderId="0" xfId="1" applyNumberFormat="1" applyFont="1" applyFill="1" applyBorder="1" applyAlignment="1">
      <alignment horizontal="right" vertical="center"/>
    </xf>
    <xf numFmtId="187" fontId="62" fillId="0" borderId="0" xfId="1" applyNumberFormat="1" applyFont="1" applyFill="1" applyBorder="1" applyAlignment="1">
      <alignment horizontal="center" vertical="center" shrinkToFit="1"/>
    </xf>
    <xf numFmtId="186" fontId="62" fillId="0" borderId="11" xfId="0" applyNumberFormat="1" applyFont="1" applyFill="1" applyBorder="1" applyAlignment="1">
      <alignment horizontal="center" vertical="center"/>
    </xf>
    <xf numFmtId="41" fontId="77" fillId="0" borderId="3" xfId="0" applyNumberFormat="1" applyFont="1" applyFill="1" applyBorder="1" applyAlignment="1">
      <alignment horizontal="center" vertical="center"/>
    </xf>
    <xf numFmtId="41" fontId="77" fillId="0" borderId="4" xfId="0" applyNumberFormat="1" applyFont="1" applyFill="1" applyBorder="1" applyAlignment="1">
      <alignment horizontal="center" vertical="center"/>
    </xf>
    <xf numFmtId="41" fontId="77" fillId="0" borderId="18" xfId="0" applyNumberFormat="1" applyFont="1" applyFill="1" applyBorder="1" applyAlignment="1">
      <alignment horizontal="center" vertical="center"/>
    </xf>
    <xf numFmtId="41" fontId="77" fillId="0" borderId="19" xfId="0" applyNumberFormat="1" applyFont="1" applyFill="1" applyBorder="1" applyAlignment="1">
      <alignment horizontal="center" vertical="center"/>
    </xf>
    <xf numFmtId="191" fontId="62" fillId="0" borderId="2" xfId="1" applyNumberFormat="1" applyFont="1" applyFill="1" applyBorder="1" applyAlignment="1">
      <alignment horizontal="center" vertical="center"/>
    </xf>
    <xf numFmtId="176" fontId="62" fillId="0" borderId="18" xfId="1" applyNumberFormat="1" applyFont="1" applyFill="1" applyBorder="1" applyAlignment="1">
      <alignment horizontal="right" vertical="center" indent="2"/>
    </xf>
    <xf numFmtId="176" fontId="62" fillId="0" borderId="10" xfId="1" applyNumberFormat="1" applyFont="1" applyFill="1" applyBorder="1" applyAlignment="1">
      <alignment horizontal="right" vertical="center" indent="2"/>
    </xf>
    <xf numFmtId="176" fontId="62" fillId="0" borderId="19" xfId="1" applyNumberFormat="1" applyFont="1" applyFill="1" applyBorder="1" applyAlignment="1">
      <alignment horizontal="right" vertical="center" indent="2"/>
    </xf>
    <xf numFmtId="191" fontId="62" fillId="0" borderId="11" xfId="1" applyNumberFormat="1" applyFont="1" applyFill="1" applyBorder="1" applyAlignment="1">
      <alignment horizontal="center" vertical="center"/>
    </xf>
    <xf numFmtId="191" fontId="62" fillId="0" borderId="55" xfId="1" applyNumberFormat="1" applyFont="1" applyFill="1" applyBorder="1" applyAlignment="1">
      <alignment horizontal="center" vertical="center"/>
    </xf>
    <xf numFmtId="177" fontId="62" fillId="0" borderId="54" xfId="0" applyNumberFormat="1" applyFont="1" applyFill="1" applyBorder="1" applyAlignment="1">
      <alignment horizontal="center" vertical="center"/>
    </xf>
    <xf numFmtId="176" fontId="62" fillId="0" borderId="56" xfId="1" applyNumberFormat="1" applyFont="1" applyFill="1" applyBorder="1" applyAlignment="1">
      <alignment horizontal="right" vertical="center" indent="2"/>
    </xf>
    <xf numFmtId="176" fontId="62" fillId="0" borderId="57" xfId="1" applyNumberFormat="1" applyFont="1" applyFill="1" applyBorder="1" applyAlignment="1">
      <alignment horizontal="right" vertical="center" indent="2"/>
    </xf>
    <xf numFmtId="176" fontId="62" fillId="0" borderId="58" xfId="1" applyNumberFormat="1" applyFont="1" applyFill="1" applyBorder="1" applyAlignment="1">
      <alignment horizontal="right" vertical="center" indent="2"/>
    </xf>
    <xf numFmtId="178" fontId="62" fillId="0" borderId="10" xfId="1" applyNumberFormat="1" applyFont="1" applyFill="1" applyBorder="1" applyAlignment="1">
      <alignment horizontal="right" vertical="center"/>
    </xf>
    <xf numFmtId="194" fontId="62" fillId="0" borderId="13" xfId="1" applyNumberFormat="1" applyFont="1" applyFill="1" applyBorder="1" applyAlignment="1">
      <alignment horizontal="center" vertical="center"/>
    </xf>
    <xf numFmtId="194" fontId="62" fillId="0" borderId="12" xfId="1" applyNumberFormat="1" applyFont="1" applyFill="1" applyBorder="1" applyAlignment="1">
      <alignment horizontal="center" vertical="center"/>
    </xf>
    <xf numFmtId="0" fontId="62" fillId="0" borderId="39" xfId="0" applyNumberFormat="1" applyFont="1" applyFill="1" applyBorder="1" applyAlignment="1">
      <alignment horizontal="center" vertical="center"/>
    </xf>
    <xf numFmtId="41" fontId="62" fillId="0" borderId="39" xfId="1" applyFont="1" applyFill="1" applyBorder="1" applyAlignment="1">
      <alignment horizontal="center" vertical="center"/>
    </xf>
    <xf numFmtId="0" fontId="62" fillId="0" borderId="39" xfId="0" applyNumberFormat="1" applyFont="1" applyFill="1" applyBorder="1" applyAlignment="1">
      <alignment horizontal="left" vertical="center"/>
    </xf>
    <xf numFmtId="0" fontId="75" fillId="0" borderId="3" xfId="0" applyNumberFormat="1" applyFont="1" applyFill="1" applyBorder="1" applyAlignment="1">
      <alignment horizontal="left" vertical="center" shrinkToFit="1"/>
    </xf>
    <xf numFmtId="0" fontId="75" fillId="0" borderId="5" xfId="0" applyNumberFormat="1" applyFont="1" applyFill="1" applyBorder="1" applyAlignment="1">
      <alignment horizontal="left" vertical="center" shrinkToFit="1"/>
    </xf>
    <xf numFmtId="0" fontId="75" fillId="0" borderId="4" xfId="0" applyNumberFormat="1" applyFont="1" applyFill="1" applyBorder="1" applyAlignment="1">
      <alignment horizontal="left" vertical="center" shrinkToFit="1"/>
    </xf>
    <xf numFmtId="41" fontId="62" fillId="0" borderId="3" xfId="1" applyFont="1" applyFill="1" applyBorder="1" applyAlignment="1">
      <alignment horizontal="center" vertical="center"/>
    </xf>
    <xf numFmtId="41" fontId="62" fillId="0" borderId="5" xfId="1" applyFont="1" applyFill="1" applyBorder="1" applyAlignment="1">
      <alignment horizontal="center" vertical="center"/>
    </xf>
    <xf numFmtId="41" fontId="62" fillId="0" borderId="4" xfId="1" applyFont="1" applyFill="1" applyBorder="1" applyAlignment="1">
      <alignment horizontal="center" vertical="center"/>
    </xf>
    <xf numFmtId="0" fontId="75" fillId="0" borderId="3" xfId="0" applyNumberFormat="1" applyFont="1" applyFill="1" applyBorder="1" applyAlignment="1">
      <alignment horizontal="center" vertical="center" wrapText="1"/>
    </xf>
    <xf numFmtId="0" fontId="75" fillId="0" borderId="5" xfId="0" applyNumberFormat="1" applyFont="1" applyFill="1" applyBorder="1" applyAlignment="1">
      <alignment horizontal="center" vertical="center" wrapText="1"/>
    </xf>
    <xf numFmtId="0" fontId="75" fillId="0" borderId="4" xfId="0" applyNumberFormat="1" applyFont="1" applyFill="1" applyBorder="1" applyAlignment="1">
      <alignment horizontal="center" vertical="center" wrapText="1"/>
    </xf>
    <xf numFmtId="41" fontId="73" fillId="0" borderId="12" xfId="0" applyNumberFormat="1" applyFont="1" applyFill="1" applyBorder="1" applyAlignment="1">
      <alignment horizontal="center" vertical="center"/>
    </xf>
    <xf numFmtId="41" fontId="73" fillId="0" borderId="2" xfId="0" applyNumberFormat="1" applyFont="1" applyFill="1" applyBorder="1" applyAlignment="1">
      <alignment horizontal="center" vertical="center"/>
    </xf>
    <xf numFmtId="0" fontId="62" fillId="0" borderId="24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62" fillId="0" borderId="26" xfId="0" applyNumberFormat="1" applyFont="1" applyFill="1" applyBorder="1" applyAlignment="1">
      <alignment horizontal="center" vertical="center"/>
    </xf>
    <xf numFmtId="0" fontId="77" fillId="0" borderId="3" xfId="0" applyNumberFormat="1" applyFont="1" applyFill="1" applyBorder="1" applyAlignment="1">
      <alignment horizontal="left" vertical="center" shrinkToFit="1"/>
    </xf>
    <xf numFmtId="0" fontId="77" fillId="0" borderId="5" xfId="0" applyNumberFormat="1" applyFont="1" applyFill="1" applyBorder="1" applyAlignment="1">
      <alignment horizontal="left" vertical="center" shrinkToFit="1"/>
    </xf>
    <xf numFmtId="0" fontId="77" fillId="0" borderId="4" xfId="0" applyNumberFormat="1" applyFont="1" applyFill="1" applyBorder="1" applyAlignment="1">
      <alignment horizontal="left" vertical="center" shrinkToFit="1"/>
    </xf>
    <xf numFmtId="0" fontId="62" fillId="0" borderId="3" xfId="0" applyNumberFormat="1" applyFont="1" applyFill="1" applyBorder="1" applyAlignment="1">
      <alignment horizontal="center" vertical="center"/>
    </xf>
    <xf numFmtId="0" fontId="62" fillId="0" borderId="5" xfId="0" applyNumberFormat="1" applyFont="1" applyFill="1" applyBorder="1" applyAlignment="1">
      <alignment horizontal="center" vertical="center"/>
    </xf>
    <xf numFmtId="0" fontId="62" fillId="0" borderId="4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distributed" vertical="center"/>
    </xf>
    <xf numFmtId="0" fontId="62" fillId="0" borderId="10" xfId="0" applyNumberFormat="1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" xfId="0" applyNumberFormat="1" applyFont="1" applyFill="1" applyBorder="1" applyAlignment="1">
      <alignment horizontal="distributed" vertical="center" shrinkToFit="1"/>
    </xf>
    <xf numFmtId="0" fontId="62" fillId="0" borderId="5" xfId="0" applyNumberFormat="1" applyFont="1" applyFill="1" applyBorder="1" applyAlignment="1">
      <alignment horizontal="distributed" vertical="center" shrinkToFit="1"/>
    </xf>
    <xf numFmtId="0" fontId="62" fillId="0" borderId="4" xfId="0" applyNumberFormat="1" applyFont="1" applyFill="1" applyBorder="1" applyAlignment="1">
      <alignment horizontal="distributed" vertical="center" shrinkToFit="1"/>
    </xf>
    <xf numFmtId="0" fontId="73" fillId="0" borderId="18" xfId="0" applyNumberFormat="1" applyFont="1" applyFill="1" applyBorder="1" applyAlignment="1">
      <alignment horizontal="left" vertical="center"/>
    </xf>
    <xf numFmtId="0" fontId="73" fillId="0" borderId="10" xfId="0" applyNumberFormat="1" applyFont="1" applyFill="1" applyBorder="1" applyAlignment="1">
      <alignment horizontal="left" vertical="center"/>
    </xf>
    <xf numFmtId="0" fontId="73" fillId="0" borderId="19" xfId="0" applyNumberFormat="1" applyFont="1" applyFill="1" applyBorder="1" applyAlignment="1">
      <alignment horizontal="left" vertical="center"/>
    </xf>
    <xf numFmtId="0" fontId="62" fillId="0" borderId="12" xfId="0" applyFont="1" applyFill="1" applyBorder="1" applyAlignment="1">
      <alignment vertical="center" shrinkToFit="1"/>
    </xf>
    <xf numFmtId="41" fontId="73" fillId="0" borderId="11" xfId="0" applyNumberFormat="1" applyFont="1" applyFill="1" applyBorder="1" applyAlignment="1">
      <alignment horizontal="center" vertical="center" wrapText="1" shrinkToFit="1"/>
    </xf>
    <xf numFmtId="41" fontId="73" fillId="0" borderId="13" xfId="0" applyNumberFormat="1" applyFont="1" applyFill="1" applyBorder="1" applyAlignment="1">
      <alignment horizontal="center" vertical="center" shrinkToFit="1"/>
    </xf>
    <xf numFmtId="41" fontId="73" fillId="0" borderId="12" xfId="0" applyNumberFormat="1" applyFont="1" applyFill="1" applyBorder="1" applyAlignment="1">
      <alignment horizontal="center" vertical="center" shrinkToFit="1"/>
    </xf>
    <xf numFmtId="41" fontId="76" fillId="0" borderId="11" xfId="0" applyNumberFormat="1" applyFont="1" applyFill="1" applyBorder="1" applyAlignment="1">
      <alignment horizontal="center" vertical="center" wrapText="1" shrinkToFit="1"/>
    </xf>
    <xf numFmtId="41" fontId="76" fillId="0" borderId="13" xfId="0" applyNumberFormat="1" applyFont="1" applyFill="1" applyBorder="1" applyAlignment="1">
      <alignment horizontal="center" vertical="center" wrapText="1" shrinkToFit="1"/>
    </xf>
    <xf numFmtId="41" fontId="76" fillId="0" borderId="12" xfId="0" applyNumberFormat="1" applyFont="1" applyFill="1" applyBorder="1" applyAlignment="1">
      <alignment horizontal="center" vertical="center" wrapText="1" shrinkToFit="1"/>
    </xf>
    <xf numFmtId="0" fontId="62" fillId="0" borderId="5" xfId="0" applyFont="1" applyFill="1" applyBorder="1"/>
    <xf numFmtId="0" fontId="62" fillId="0" borderId="4" xfId="0" applyFont="1" applyFill="1" applyBorder="1"/>
    <xf numFmtId="41" fontId="62" fillId="0" borderId="2" xfId="1" applyNumberFormat="1" applyFont="1" applyFill="1" applyBorder="1" applyAlignment="1">
      <alignment horizontal="center" vertical="center"/>
    </xf>
    <xf numFmtId="41" fontId="62" fillId="0" borderId="8" xfId="1" applyFont="1" applyFill="1" applyBorder="1" applyAlignment="1">
      <alignment horizontal="center" vertical="center"/>
    </xf>
    <xf numFmtId="41" fontId="62" fillId="0" borderId="1" xfId="1" applyFont="1" applyFill="1" applyBorder="1" applyAlignment="1">
      <alignment horizontal="center" vertical="center"/>
    </xf>
    <xf numFmtId="41" fontId="62" fillId="0" borderId="6" xfId="1" applyFont="1" applyFill="1" applyBorder="1" applyAlignment="1">
      <alignment horizontal="center" vertical="center"/>
    </xf>
    <xf numFmtId="41" fontId="62" fillId="0" borderId="3" xfId="1" applyNumberFormat="1" applyFont="1" applyFill="1" applyBorder="1" applyAlignment="1">
      <alignment horizontal="center" vertical="center"/>
    </xf>
    <xf numFmtId="41" fontId="62" fillId="0" borderId="5" xfId="1" applyNumberFormat="1" applyFont="1" applyFill="1" applyBorder="1" applyAlignment="1">
      <alignment horizontal="center" vertical="center"/>
    </xf>
    <xf numFmtId="41" fontId="62" fillId="0" borderId="4" xfId="1" applyNumberFormat="1" applyFont="1" applyFill="1" applyBorder="1" applyAlignment="1">
      <alignment horizontal="center" vertical="center"/>
    </xf>
    <xf numFmtId="41" fontId="62" fillId="4" borderId="3" xfId="1" applyFont="1" applyFill="1" applyBorder="1" applyAlignment="1">
      <alignment horizontal="center" vertical="center"/>
    </xf>
    <xf numFmtId="41" fontId="62" fillId="4" borderId="5" xfId="1" applyFont="1" applyFill="1" applyBorder="1" applyAlignment="1">
      <alignment horizontal="center" vertical="center"/>
    </xf>
    <xf numFmtId="41" fontId="62" fillId="4" borderId="4" xfId="1" applyFont="1" applyFill="1" applyBorder="1" applyAlignment="1">
      <alignment horizontal="center" vertical="center"/>
    </xf>
    <xf numFmtId="41" fontId="62" fillId="0" borderId="42" xfId="1" applyFont="1" applyFill="1" applyBorder="1" applyAlignment="1">
      <alignment horizontal="center" vertical="center"/>
    </xf>
    <xf numFmtId="41" fontId="62" fillId="7" borderId="3" xfId="1" applyFont="1" applyFill="1" applyBorder="1" applyAlignment="1">
      <alignment horizontal="center" vertical="center"/>
    </xf>
    <xf numFmtId="0" fontId="62" fillId="7" borderId="5" xfId="0" applyFont="1" applyFill="1" applyBorder="1"/>
    <xf numFmtId="0" fontId="62" fillId="7" borderId="4" xfId="0" applyFont="1" applyFill="1" applyBorder="1"/>
    <xf numFmtId="41" fontId="62" fillId="0" borderId="12" xfId="1" applyNumberFormat="1" applyFont="1" applyFill="1" applyBorder="1" applyAlignment="1">
      <alignment horizontal="center" vertical="center"/>
    </xf>
    <xf numFmtId="0" fontId="62" fillId="4" borderId="5" xfId="0" applyFont="1" applyFill="1" applyBorder="1"/>
    <xf numFmtId="0" fontId="62" fillId="4" borderId="4" xfId="0" applyFont="1" applyFill="1" applyBorder="1"/>
    <xf numFmtId="197" fontId="62" fillId="0" borderId="24" xfId="0" applyNumberFormat="1" applyFont="1" applyFill="1" applyBorder="1" applyAlignment="1">
      <alignment horizontal="center" vertical="center"/>
    </xf>
    <xf numFmtId="197" fontId="62" fillId="0" borderId="25" xfId="0" applyNumberFormat="1" applyFont="1" applyFill="1" applyBorder="1" applyAlignment="1">
      <alignment horizontal="center" vertical="center"/>
    </xf>
    <xf numFmtId="197" fontId="62" fillId="0" borderId="26" xfId="0" applyNumberFormat="1" applyFont="1" applyFill="1" applyBorder="1" applyAlignment="1">
      <alignment horizontal="center" vertical="center"/>
    </xf>
    <xf numFmtId="41" fontId="62" fillId="0" borderId="18" xfId="1" applyFont="1" applyFill="1" applyBorder="1" applyAlignment="1">
      <alignment horizontal="center" vertical="center"/>
    </xf>
    <xf numFmtId="0" fontId="62" fillId="0" borderId="10" xfId="0" applyFont="1" applyFill="1" applyBorder="1"/>
    <xf numFmtId="0" fontId="62" fillId="0" borderId="19" xfId="0" applyFont="1" applyFill="1" applyBorder="1"/>
    <xf numFmtId="0" fontId="62" fillId="0" borderId="2" xfId="0" applyFont="1" applyFill="1" applyBorder="1" applyAlignment="1">
      <alignment vertical="center" shrinkToFit="1"/>
    </xf>
    <xf numFmtId="0" fontId="62" fillId="0" borderId="3" xfId="0" applyFont="1" applyFill="1" applyBorder="1" applyAlignment="1">
      <alignment vertical="center" shrinkToFit="1"/>
    </xf>
    <xf numFmtId="0" fontId="62" fillId="0" borderId="5" xfId="0" applyFont="1" applyFill="1" applyBorder="1" applyAlignment="1">
      <alignment vertical="center" shrinkToFit="1"/>
    </xf>
    <xf numFmtId="0" fontId="62" fillId="0" borderId="4" xfId="0" applyFont="1" applyFill="1" applyBorder="1" applyAlignment="1">
      <alignment vertical="center" shrinkToFit="1"/>
    </xf>
    <xf numFmtId="41" fontId="62" fillId="0" borderId="8" xfId="1" applyNumberFormat="1" applyFont="1" applyFill="1" applyBorder="1" applyAlignment="1">
      <alignment horizontal="center" vertical="center"/>
    </xf>
    <xf numFmtId="41" fontId="62" fillId="0" borderId="1" xfId="1" applyNumberFormat="1" applyFont="1" applyFill="1" applyBorder="1" applyAlignment="1">
      <alignment horizontal="center" vertical="center"/>
    </xf>
    <xf numFmtId="41" fontId="62" fillId="0" borderId="6" xfId="1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/>
    </xf>
    <xf numFmtId="0" fontId="92" fillId="0" borderId="5" xfId="0" applyFont="1" applyFill="1" applyBorder="1" applyAlignment="1">
      <alignment horizontal="center" vertical="center"/>
    </xf>
    <xf numFmtId="0" fontId="92" fillId="0" borderId="4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6" xfId="0" quotePrefix="1" applyFont="1" applyFill="1" applyBorder="1" applyAlignment="1">
      <alignment horizontal="center" vertical="center" wrapText="1"/>
    </xf>
    <xf numFmtId="0" fontId="62" fillId="0" borderId="7" xfId="0" quotePrefix="1" applyFont="1" applyFill="1" applyBorder="1" applyAlignment="1">
      <alignment horizontal="center" vertical="center" wrapText="1"/>
    </xf>
    <xf numFmtId="0" fontId="62" fillId="0" borderId="9" xfId="0" quotePrefix="1" applyFont="1" applyFill="1" applyBorder="1" applyAlignment="1">
      <alignment horizontal="center" vertical="center" wrapText="1"/>
    </xf>
    <xf numFmtId="0" fontId="62" fillId="0" borderId="18" xfId="0" quotePrefix="1" applyFont="1" applyFill="1" applyBorder="1" applyAlignment="1">
      <alignment horizontal="center" vertical="center" wrapText="1"/>
    </xf>
    <xf numFmtId="0" fontId="62" fillId="0" borderId="19" xfId="0" quotePrefix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distributed" vertical="center"/>
    </xf>
    <xf numFmtId="0" fontId="62" fillId="0" borderId="4" xfId="0" applyFont="1" applyFill="1" applyBorder="1" applyAlignment="1">
      <alignment horizontal="distributed" vertical="center"/>
    </xf>
    <xf numFmtId="0" fontId="62" fillId="0" borderId="2" xfId="0" applyFont="1" applyFill="1" applyBorder="1" applyAlignment="1">
      <alignment horizontal="distributed" vertical="center"/>
    </xf>
    <xf numFmtId="0" fontId="62" fillId="0" borderId="18" xfId="0" applyFont="1" applyFill="1" applyBorder="1" applyAlignment="1">
      <alignment horizontal="distributed" vertical="center"/>
    </xf>
    <xf numFmtId="0" fontId="62" fillId="0" borderId="10" xfId="0" applyFont="1" applyFill="1" applyBorder="1" applyAlignment="1">
      <alignment horizontal="distributed" vertical="center"/>
    </xf>
    <xf numFmtId="0" fontId="62" fillId="0" borderId="13" xfId="0" applyFont="1" applyFill="1" applyBorder="1" applyAlignment="1">
      <alignment horizontal="center" vertical="center" textRotation="255"/>
    </xf>
    <xf numFmtId="0" fontId="62" fillId="0" borderId="12" xfId="0" applyFont="1" applyFill="1" applyBorder="1" applyAlignment="1">
      <alignment horizontal="center" vertical="center" textRotation="255"/>
    </xf>
    <xf numFmtId="41" fontId="62" fillId="0" borderId="2" xfId="1" applyFont="1" applyFill="1" applyBorder="1" applyAlignment="1">
      <alignment horizontal="right" vertical="center"/>
    </xf>
    <xf numFmtId="0" fontId="73" fillId="0" borderId="2" xfId="0" applyFont="1" applyFill="1" applyBorder="1" applyAlignment="1">
      <alignment horizontal="distributed" vertical="center"/>
    </xf>
    <xf numFmtId="0" fontId="62" fillId="0" borderId="5" xfId="0" applyFont="1" applyBorder="1"/>
    <xf numFmtId="0" fontId="62" fillId="0" borderId="4" xfId="0" applyFont="1" applyBorder="1"/>
    <xf numFmtId="0" fontId="73" fillId="0" borderId="18" xfId="0" applyFont="1" applyFill="1" applyBorder="1" applyAlignment="1">
      <alignment horizontal="center" vertical="center" textRotation="255"/>
    </xf>
    <xf numFmtId="0" fontId="73" fillId="0" borderId="10" xfId="0" applyFont="1" applyFill="1" applyBorder="1" applyAlignment="1">
      <alignment horizontal="center" vertical="center" textRotation="255"/>
    </xf>
    <xf numFmtId="0" fontId="73" fillId="0" borderId="19" xfId="0" applyFont="1" applyFill="1" applyBorder="1" applyAlignment="1">
      <alignment horizontal="center" vertical="center" textRotation="255"/>
    </xf>
    <xf numFmtId="0" fontId="62" fillId="0" borderId="12" xfId="0" applyFont="1" applyFill="1" applyBorder="1" applyAlignment="1">
      <alignment horizontal="center" vertical="center"/>
    </xf>
    <xf numFmtId="41" fontId="73" fillId="0" borderId="5" xfId="1" applyFont="1" applyFill="1" applyBorder="1" applyAlignment="1">
      <alignment horizontal="center" vertical="center"/>
    </xf>
    <xf numFmtId="41" fontId="73" fillId="0" borderId="4" xfId="1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62" fillId="0" borderId="2" xfId="0" applyNumberFormat="1" applyFont="1" applyFill="1" applyBorder="1" applyAlignment="1">
      <alignment horizontal="distributed" vertical="center" wrapText="1"/>
    </xf>
    <xf numFmtId="196" fontId="72" fillId="0" borderId="0" xfId="3" applyNumberFormat="1" applyFont="1" applyFill="1" applyBorder="1" applyAlignment="1">
      <alignment horizontal="right" vertical="center"/>
    </xf>
    <xf numFmtId="0" fontId="81" fillId="0" borderId="11" xfId="0" applyFont="1" applyFill="1" applyBorder="1" applyAlignment="1">
      <alignment horizontal="distributed" vertical="center" textRotation="255"/>
    </xf>
    <xf numFmtId="0" fontId="81" fillId="0" borderId="13" xfId="0" applyFont="1" applyFill="1" applyBorder="1" applyAlignment="1">
      <alignment horizontal="distributed" vertical="center" textRotation="255"/>
    </xf>
    <xf numFmtId="0" fontId="81" fillId="0" borderId="12" xfId="0" applyFont="1" applyFill="1" applyBorder="1" applyAlignment="1">
      <alignment horizontal="distributed" vertical="center" textRotation="255"/>
    </xf>
    <xf numFmtId="0" fontId="62" fillId="0" borderId="1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41" fontId="73" fillId="0" borderId="11" xfId="0" applyNumberFormat="1" applyFont="1" applyFill="1" applyBorder="1" applyAlignment="1">
      <alignment horizontal="center" vertical="center"/>
    </xf>
    <xf numFmtId="186" fontId="73" fillId="0" borderId="1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/>
    </xf>
    <xf numFmtId="3" fontId="68" fillId="3" borderId="0" xfId="0" applyNumberFormat="1" applyFont="1" applyFill="1" applyBorder="1" applyAlignment="1">
      <alignment horizontal="center" vertical="center"/>
    </xf>
    <xf numFmtId="41" fontId="80" fillId="3" borderId="0" xfId="1" applyFont="1" applyFill="1" applyBorder="1" applyAlignment="1">
      <alignment horizontal="center" vertical="center" shrinkToFit="1"/>
    </xf>
    <xf numFmtId="3" fontId="68" fillId="0" borderId="0" xfId="0" applyNumberFormat="1" applyFont="1" applyFill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center" vertical="center" shrinkToFit="1"/>
    </xf>
    <xf numFmtId="41" fontId="68" fillId="0" borderId="0" xfId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center" shrinkToFit="1"/>
    </xf>
    <xf numFmtId="41" fontId="62" fillId="0" borderId="0" xfId="1" applyFont="1" applyFill="1" applyBorder="1" applyAlignment="1">
      <alignment horizontal="center" vertical="center"/>
    </xf>
    <xf numFmtId="176" fontId="73" fillId="0" borderId="18" xfId="1" applyNumberFormat="1" applyFont="1" applyFill="1" applyBorder="1" applyAlignment="1">
      <alignment horizontal="right" vertical="center" indent="2"/>
    </xf>
    <xf numFmtId="176" fontId="73" fillId="0" borderId="10" xfId="1" applyNumberFormat="1" applyFont="1" applyFill="1" applyBorder="1" applyAlignment="1">
      <alignment horizontal="right" vertical="center" indent="2"/>
    </xf>
    <xf numFmtId="176" fontId="73" fillId="0" borderId="19" xfId="1" applyNumberFormat="1" applyFont="1" applyFill="1" applyBorder="1" applyAlignment="1">
      <alignment horizontal="right" vertical="center" indent="2"/>
    </xf>
    <xf numFmtId="0" fontId="62" fillId="0" borderId="3" xfId="0" applyNumberFormat="1" applyFont="1" applyFill="1" applyBorder="1" applyAlignment="1">
      <alignment horizontal="left" vertical="center" wrapText="1" indent="1"/>
    </xf>
    <xf numFmtId="0" fontId="62" fillId="0" borderId="5" xfId="0" applyNumberFormat="1" applyFont="1" applyFill="1" applyBorder="1" applyAlignment="1">
      <alignment horizontal="left" vertical="center" wrapText="1" indent="1"/>
    </xf>
    <xf numFmtId="0" fontId="62" fillId="0" borderId="4" xfId="0" applyNumberFormat="1" applyFont="1" applyFill="1" applyBorder="1" applyAlignment="1">
      <alignment horizontal="left" vertical="center" wrapText="1" indent="1"/>
    </xf>
    <xf numFmtId="0" fontId="74" fillId="0" borderId="0" xfId="0" applyFont="1" applyFill="1" applyAlignment="1">
      <alignment horizontal="left" vertical="center"/>
    </xf>
    <xf numFmtId="3" fontId="80" fillId="3" borderId="0" xfId="0" applyNumberFormat="1" applyFont="1" applyFill="1" applyBorder="1" applyAlignment="1">
      <alignment horizontal="center" vertical="center"/>
    </xf>
    <xf numFmtId="192" fontId="62" fillId="0" borderId="18" xfId="1" applyNumberFormat="1" applyFont="1" applyFill="1" applyBorder="1" applyAlignment="1">
      <alignment horizontal="center" vertical="center"/>
    </xf>
    <xf numFmtId="192" fontId="62" fillId="0" borderId="10" xfId="1" applyNumberFormat="1" applyFont="1" applyFill="1" applyBorder="1" applyAlignment="1">
      <alignment horizontal="center" vertical="center"/>
    </xf>
    <xf numFmtId="192" fontId="62" fillId="0" borderId="19" xfId="1" applyNumberFormat="1" applyFont="1" applyFill="1" applyBorder="1" applyAlignment="1">
      <alignment horizontal="center" vertical="center"/>
    </xf>
    <xf numFmtId="0" fontId="62" fillId="0" borderId="8" xfId="0" applyNumberFormat="1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/>
    </xf>
    <xf numFmtId="0" fontId="73" fillId="0" borderId="8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shrinkToFit="1"/>
    </xf>
    <xf numFmtId="0" fontId="68" fillId="3" borderId="0" xfId="0" applyFont="1" applyFill="1" applyBorder="1" applyAlignment="1">
      <alignment horizontal="center" vertical="center" shrinkToFit="1"/>
    </xf>
    <xf numFmtId="0" fontId="68" fillId="3" borderId="0" xfId="0" applyFont="1" applyFill="1" applyBorder="1" applyAlignment="1">
      <alignment horizontal="center" vertical="center"/>
    </xf>
    <xf numFmtId="41" fontId="68" fillId="0" borderId="0" xfId="1" applyFont="1" applyFill="1" applyBorder="1" applyAlignment="1">
      <alignment horizontal="center" vertical="center" shrinkToFit="1"/>
    </xf>
    <xf numFmtId="177" fontId="62" fillId="0" borderId="3" xfId="1" applyNumberFormat="1" applyFont="1" applyFill="1" applyBorder="1" applyAlignment="1">
      <alignment horizontal="center" vertical="center" shrinkToFit="1"/>
    </xf>
    <xf numFmtId="177" fontId="62" fillId="0" borderId="5" xfId="1" applyNumberFormat="1" applyFont="1" applyFill="1" applyBorder="1" applyAlignment="1">
      <alignment horizontal="center" vertical="center" shrinkToFit="1"/>
    </xf>
    <xf numFmtId="177" fontId="62" fillId="0" borderId="4" xfId="1" applyNumberFormat="1" applyFont="1" applyFill="1" applyBorder="1" applyAlignment="1">
      <alignment horizontal="center" vertical="center" shrinkToFit="1"/>
    </xf>
    <xf numFmtId="0" fontId="73" fillId="0" borderId="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shrinkToFit="1"/>
    </xf>
    <xf numFmtId="176" fontId="73" fillId="0" borderId="2" xfId="1" applyNumberFormat="1" applyFont="1" applyFill="1" applyBorder="1" applyAlignment="1">
      <alignment horizontal="center" vertical="center"/>
    </xf>
    <xf numFmtId="176" fontId="73" fillId="0" borderId="2" xfId="0" applyNumberFormat="1" applyFont="1" applyFill="1" applyBorder="1" applyAlignment="1">
      <alignment horizontal="center" vertical="center"/>
    </xf>
    <xf numFmtId="41" fontId="73" fillId="0" borderId="2" xfId="1" applyFont="1" applyFill="1" applyBorder="1" applyAlignment="1">
      <alignment horizontal="center" vertical="center"/>
    </xf>
    <xf numFmtId="176" fontId="68" fillId="3" borderId="0" xfId="0" applyNumberFormat="1" applyFont="1" applyFill="1" applyBorder="1" applyAlignment="1">
      <alignment horizontal="center" vertical="center" shrinkToFit="1"/>
    </xf>
    <xf numFmtId="43" fontId="73" fillId="0" borderId="3" xfId="1" applyNumberFormat="1" applyFont="1" applyFill="1" applyBorder="1" applyAlignment="1">
      <alignment horizontal="center" vertical="center" shrinkToFit="1"/>
    </xf>
    <xf numFmtId="43" fontId="73" fillId="0" borderId="4" xfId="1" applyNumberFormat="1" applyFont="1" applyFill="1" applyBorder="1" applyAlignment="1">
      <alignment horizontal="center" vertical="center" shrinkToFit="1"/>
    </xf>
    <xf numFmtId="41" fontId="98" fillId="0" borderId="0" xfId="1" applyFont="1" applyFill="1" applyBorder="1" applyAlignment="1">
      <alignment horizontal="center" vertical="center"/>
    </xf>
    <xf numFmtId="43" fontId="73" fillId="0" borderId="20" xfId="1" applyNumberFormat="1" applyFont="1" applyFill="1" applyBorder="1" applyAlignment="1">
      <alignment horizontal="center" vertical="center" shrinkToFit="1"/>
    </xf>
    <xf numFmtId="43" fontId="73" fillId="0" borderId="22" xfId="1" applyNumberFormat="1" applyFont="1" applyFill="1" applyBorder="1" applyAlignment="1">
      <alignment horizontal="center" vertical="center" shrinkToFit="1"/>
    </xf>
    <xf numFmtId="41" fontId="73" fillId="0" borderId="0" xfId="1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41" fontId="112" fillId="0" borderId="0" xfId="1" applyFont="1" applyFill="1" applyBorder="1" applyAlignment="1">
      <alignment horizontal="center" vertical="center"/>
    </xf>
    <xf numFmtId="41" fontId="113" fillId="0" borderId="0" xfId="1" applyFont="1" applyFill="1" applyBorder="1" applyAlignment="1">
      <alignment horizontal="center"/>
    </xf>
    <xf numFmtId="41" fontId="110" fillId="0" borderId="0" xfId="1" applyFont="1" applyFill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41" fontId="83" fillId="0" borderId="2" xfId="1" applyFont="1" applyBorder="1" applyAlignment="1">
      <alignment horizontal="center" vertical="center"/>
    </xf>
    <xf numFmtId="41" fontId="83" fillId="0" borderId="3" xfId="1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7" xfId="0" applyFont="1" applyBorder="1" applyAlignment="1">
      <alignment horizontal="center" vertical="center"/>
    </xf>
    <xf numFmtId="41" fontId="83" fillId="0" borderId="4" xfId="1" applyFont="1" applyBorder="1" applyAlignment="1">
      <alignment horizontal="center" vertical="center"/>
    </xf>
    <xf numFmtId="200" fontId="87" fillId="0" borderId="12" xfId="0" applyNumberFormat="1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87" fillId="0" borderId="6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41" fontId="65" fillId="3" borderId="3" xfId="1" applyFont="1" applyFill="1" applyBorder="1" applyAlignment="1">
      <alignment horizontal="center" vertical="center"/>
    </xf>
    <xf numFmtId="41" fontId="65" fillId="3" borderId="5" xfId="1" applyFont="1" applyFill="1" applyBorder="1" applyAlignment="1">
      <alignment horizontal="center" vertical="center"/>
    </xf>
    <xf numFmtId="41" fontId="65" fillId="3" borderId="4" xfId="1" applyFont="1" applyFill="1" applyBorder="1" applyAlignment="1">
      <alignment horizontal="center" vertical="center"/>
    </xf>
    <xf numFmtId="41" fontId="65" fillId="0" borderId="3" xfId="1" applyFont="1" applyBorder="1" applyAlignment="1">
      <alignment horizontal="left" vertical="center"/>
    </xf>
    <xf numFmtId="41" fontId="65" fillId="0" borderId="5" xfId="1" applyFont="1" applyBorder="1" applyAlignment="1">
      <alignment horizontal="left" vertical="center"/>
    </xf>
    <xf numFmtId="41" fontId="65" fillId="0" borderId="29" xfId="1" applyFont="1" applyBorder="1" applyAlignment="1">
      <alignment horizontal="left" vertical="center"/>
    </xf>
    <xf numFmtId="41" fontId="65" fillId="0" borderId="54" xfId="1" applyFont="1" applyBorder="1" applyAlignment="1">
      <alignment horizontal="center" vertical="center"/>
    </xf>
    <xf numFmtId="41" fontId="65" fillId="0" borderId="74" xfId="1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41" fontId="97" fillId="0" borderId="2" xfId="1" applyFont="1" applyBorder="1" applyAlignment="1">
      <alignment horizontal="center" vertical="center"/>
    </xf>
    <xf numFmtId="41" fontId="88" fillId="0" borderId="2" xfId="1" applyFont="1" applyBorder="1" applyAlignment="1">
      <alignment horizontal="center" vertical="center"/>
    </xf>
    <xf numFmtId="200" fontId="61" fillId="0" borderId="2" xfId="0" applyNumberFormat="1" applyFont="1" applyBorder="1" applyAlignment="1">
      <alignment horizontal="center" vertical="center"/>
    </xf>
    <xf numFmtId="41" fontId="89" fillId="0" borderId="3" xfId="1" applyFont="1" applyBorder="1" applyAlignment="1">
      <alignment horizontal="left" vertical="center"/>
    </xf>
    <xf numFmtId="41" fontId="89" fillId="0" borderId="5" xfId="1" applyFont="1" applyBorder="1" applyAlignment="1">
      <alignment horizontal="left" vertical="center"/>
    </xf>
    <xf numFmtId="41" fontId="89" fillId="0" borderId="29" xfId="1" applyFont="1" applyBorder="1" applyAlignment="1">
      <alignment horizontal="left" vertical="center"/>
    </xf>
    <xf numFmtId="41" fontId="65" fillId="6" borderId="20" xfId="1" applyFont="1" applyFill="1" applyBorder="1" applyAlignment="1">
      <alignment horizontal="center" vertical="center"/>
    </xf>
    <xf numFmtId="41" fontId="65" fillId="6" borderId="21" xfId="1" applyFont="1" applyFill="1" applyBorder="1" applyAlignment="1">
      <alignment horizontal="center" vertical="center"/>
    </xf>
    <xf numFmtId="41" fontId="65" fillId="6" borderId="22" xfId="1" applyFont="1" applyFill="1" applyBorder="1" applyAlignment="1">
      <alignment horizontal="center" vertical="center"/>
    </xf>
    <xf numFmtId="41" fontId="65" fillId="6" borderId="20" xfId="1" applyFont="1" applyFill="1" applyBorder="1" applyAlignment="1">
      <alignment horizontal="left" vertical="center"/>
    </xf>
    <xf numFmtId="41" fontId="65" fillId="6" borderId="21" xfId="1" applyFont="1" applyFill="1" applyBorder="1" applyAlignment="1">
      <alignment horizontal="left" vertical="center"/>
    </xf>
    <xf numFmtId="41" fontId="65" fillId="6" borderId="76" xfId="1" applyFont="1" applyFill="1" applyBorder="1" applyAlignment="1">
      <alignment horizontal="left" vertical="center"/>
    </xf>
    <xf numFmtId="0" fontId="66" fillId="0" borderId="68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7" fillId="0" borderId="71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0" fontId="67" fillId="0" borderId="70" xfId="0" applyFont="1" applyBorder="1" applyAlignment="1">
      <alignment horizontal="center" vertical="center"/>
    </xf>
    <xf numFmtId="199" fontId="60" fillId="0" borderId="0" xfId="0" applyNumberFormat="1" applyFont="1" applyAlignment="1">
      <alignment horizontal="center" vertical="center"/>
    </xf>
    <xf numFmtId="0" fontId="65" fillId="3" borderId="3" xfId="0" applyFont="1" applyFill="1" applyBorder="1" applyAlignment="1">
      <alignment horizontal="center" vertical="center"/>
    </xf>
    <xf numFmtId="0" fontId="65" fillId="3" borderId="5" xfId="0" applyFont="1" applyFill="1" applyBorder="1" applyAlignment="1">
      <alignment horizontal="center" vertical="center"/>
    </xf>
    <xf numFmtId="0" fontId="65" fillId="3" borderId="4" xfId="0" applyFont="1" applyFill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41" fontId="65" fillId="0" borderId="12" xfId="1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41" fontId="65" fillId="0" borderId="54" xfId="1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88" xfId="0" applyFont="1" applyBorder="1" applyAlignment="1">
      <alignment horizontal="center" vertical="center"/>
    </xf>
    <xf numFmtId="0" fontId="65" fillId="0" borderId="85" xfId="0" applyFont="1" applyBorder="1" applyAlignment="1">
      <alignment horizontal="center" vertical="center"/>
    </xf>
    <xf numFmtId="0" fontId="65" fillId="0" borderId="86" xfId="0" applyFont="1" applyBorder="1" applyAlignment="1">
      <alignment horizontal="center" vertical="center"/>
    </xf>
    <xf numFmtId="0" fontId="65" fillId="0" borderId="87" xfId="0" applyFont="1" applyBorder="1" applyAlignment="1">
      <alignment horizontal="center" vertical="center"/>
    </xf>
    <xf numFmtId="41" fontId="9" fillId="0" borderId="3" xfId="1" applyFont="1" applyFill="1" applyBorder="1" applyAlignment="1">
      <alignment horizontal="center" vertical="center" shrinkToFit="1"/>
    </xf>
    <xf numFmtId="41" fontId="9" fillId="0" borderId="5" xfId="1" applyFont="1" applyFill="1" applyBorder="1" applyAlignment="1">
      <alignment horizontal="center" vertical="center" shrinkToFit="1"/>
    </xf>
    <xf numFmtId="41" fontId="9" fillId="0" borderId="4" xfId="1" applyFont="1" applyFill="1" applyBorder="1" applyAlignment="1">
      <alignment horizontal="center" vertical="center" shrinkToFit="1"/>
    </xf>
    <xf numFmtId="41" fontId="65" fillId="0" borderId="12" xfId="0" applyNumberFormat="1" applyFont="1" applyBorder="1" applyAlignment="1">
      <alignment horizontal="center" vertical="center"/>
    </xf>
    <xf numFmtId="43" fontId="65" fillId="0" borderId="41" xfId="0" applyNumberFormat="1" applyFont="1" applyBorder="1" applyAlignment="1">
      <alignment horizontal="center" vertical="center"/>
    </xf>
    <xf numFmtId="43" fontId="65" fillId="0" borderId="66" xfId="0" applyNumberFormat="1" applyFont="1" applyBorder="1" applyAlignment="1">
      <alignment horizontal="center" vertical="center"/>
    </xf>
    <xf numFmtId="43" fontId="65" fillId="0" borderId="40" xfId="0" applyNumberFormat="1" applyFont="1" applyBorder="1" applyAlignment="1">
      <alignment horizontal="center" vertical="center"/>
    </xf>
    <xf numFmtId="43" fontId="65" fillId="0" borderId="9" xfId="0" applyNumberFormat="1" applyFont="1" applyBorder="1" applyAlignment="1">
      <alignment horizontal="center" vertical="center"/>
    </xf>
    <xf numFmtId="43" fontId="65" fillId="0" borderId="0" xfId="0" applyNumberFormat="1" applyFont="1" applyBorder="1" applyAlignment="1">
      <alignment horizontal="center" vertical="center"/>
    </xf>
    <xf numFmtId="43" fontId="65" fillId="0" borderId="7" xfId="0" applyNumberFormat="1" applyFont="1" applyBorder="1" applyAlignment="1">
      <alignment horizontal="center" vertical="center"/>
    </xf>
    <xf numFmtId="43" fontId="65" fillId="0" borderId="36" xfId="0" applyNumberFormat="1" applyFont="1" applyBorder="1" applyAlignment="1">
      <alignment horizontal="center" vertical="center"/>
    </xf>
    <xf numFmtId="43" fontId="65" fillId="0" borderId="37" xfId="0" applyNumberFormat="1" applyFont="1" applyBorder="1" applyAlignment="1">
      <alignment horizontal="center" vertical="center"/>
    </xf>
    <xf numFmtId="43" fontId="65" fillId="0" borderId="35" xfId="0" applyNumberFormat="1" applyFont="1" applyBorder="1" applyAlignment="1">
      <alignment horizontal="center" vertical="center"/>
    </xf>
    <xf numFmtId="203" fontId="65" fillId="0" borderId="77" xfId="0" applyNumberFormat="1" applyFont="1" applyBorder="1" applyAlignment="1">
      <alignment horizontal="center" vertical="center"/>
    </xf>
    <xf numFmtId="203" fontId="65" fillId="0" borderId="11" xfId="0" applyNumberFormat="1" applyFont="1" applyBorder="1" applyAlignment="1">
      <alignment horizontal="center" vertical="center"/>
    </xf>
    <xf numFmtId="41" fontId="9" fillId="0" borderId="24" xfId="1" applyFont="1" applyFill="1" applyBorder="1" applyAlignment="1">
      <alignment horizontal="center" vertical="center" shrinkToFit="1"/>
    </xf>
    <xf numFmtId="41" fontId="9" fillId="0" borderId="25" xfId="1" applyFont="1" applyFill="1" applyBorder="1" applyAlignment="1">
      <alignment horizontal="center" vertical="center" shrinkToFit="1"/>
    </xf>
    <xf numFmtId="41" fontId="9" fillId="0" borderId="26" xfId="1" applyFont="1" applyFill="1" applyBorder="1" applyAlignment="1">
      <alignment horizontal="center" vertical="center" shrinkToFit="1"/>
    </xf>
    <xf numFmtId="41" fontId="65" fillId="0" borderId="11" xfId="1" applyFont="1" applyBorder="1" applyAlignment="1">
      <alignment horizontal="center" vertical="center"/>
    </xf>
    <xf numFmtId="41" fontId="9" fillId="0" borderId="18" xfId="1" applyFont="1" applyFill="1" applyBorder="1" applyAlignment="1">
      <alignment horizontal="center" vertical="center" shrinkToFit="1"/>
    </xf>
    <xf numFmtId="41" fontId="9" fillId="0" borderId="10" xfId="1" applyFont="1" applyFill="1" applyBorder="1" applyAlignment="1">
      <alignment horizontal="center" vertical="center" shrinkToFit="1"/>
    </xf>
    <xf numFmtId="41" fontId="9" fillId="0" borderId="19" xfId="1" applyFont="1" applyFill="1" applyBorder="1" applyAlignment="1">
      <alignment horizontal="center" vertical="center" shrinkToFit="1"/>
    </xf>
    <xf numFmtId="203" fontId="65" fillId="0" borderId="63" xfId="0" applyNumberFormat="1" applyFont="1" applyBorder="1" applyAlignment="1">
      <alignment horizontal="center" vertical="center"/>
    </xf>
    <xf numFmtId="203" fontId="65" fillId="0" borderId="12" xfId="0" applyNumberFormat="1" applyFont="1" applyBorder="1" applyAlignment="1">
      <alignment horizontal="center" vertical="center"/>
    </xf>
    <xf numFmtId="0" fontId="65" fillId="6" borderId="75" xfId="0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/>
    </xf>
    <xf numFmtId="0" fontId="65" fillId="6" borderId="22" xfId="0" applyFont="1" applyFill="1" applyBorder="1" applyAlignment="1">
      <alignment horizontal="center" vertical="center"/>
    </xf>
    <xf numFmtId="0" fontId="0" fillId="0" borderId="5" xfId="0" applyBorder="1"/>
    <xf numFmtId="0" fontId="0" fillId="0" borderId="29" xfId="0" applyBorder="1"/>
    <xf numFmtId="0" fontId="65" fillId="0" borderId="80" xfId="0" applyFont="1" applyBorder="1" applyAlignment="1">
      <alignment horizontal="center" vertical="center"/>
    </xf>
    <xf numFmtId="0" fontId="65" fillId="0" borderId="81" xfId="0" applyFont="1" applyBorder="1" applyAlignment="1">
      <alignment horizontal="center" vertical="center"/>
    </xf>
    <xf numFmtId="41" fontId="65" fillId="0" borderId="81" xfId="1" applyFont="1" applyBorder="1" applyAlignment="1">
      <alignment horizontal="center" vertical="center"/>
    </xf>
    <xf numFmtId="41" fontId="93" fillId="0" borderId="0" xfId="1" applyFont="1" applyAlignment="1">
      <alignment horizontal="center" vertical="center"/>
    </xf>
    <xf numFmtId="201" fontId="65" fillId="0" borderId="0" xfId="1" applyNumberFormat="1" applyFont="1" applyBorder="1" applyAlignment="1">
      <alignment horizontal="center" vertical="center"/>
    </xf>
    <xf numFmtId="201" fontId="65" fillId="0" borderId="0" xfId="3" applyNumberFormat="1" applyFont="1" applyAlignment="1">
      <alignment horizontal="center" vertical="center"/>
    </xf>
    <xf numFmtId="41" fontId="65" fillId="6" borderId="24" xfId="1" applyFont="1" applyFill="1" applyBorder="1" applyAlignment="1">
      <alignment horizontal="center" vertical="center"/>
    </xf>
    <xf numFmtId="41" fontId="65" fillId="6" borderId="25" xfId="1" applyFont="1" applyFill="1" applyBorder="1" applyAlignment="1">
      <alignment horizontal="center" vertical="center"/>
    </xf>
    <xf numFmtId="41" fontId="65" fillId="6" borderId="26" xfId="1" applyFont="1" applyFill="1" applyBorder="1" applyAlignment="1">
      <alignment horizontal="center" vertical="center"/>
    </xf>
    <xf numFmtId="41" fontId="110" fillId="0" borderId="0" xfId="1" applyFont="1" applyFill="1" applyBorder="1" applyAlignment="1">
      <alignment horizontal="center" vertical="center" shrinkToFit="1"/>
    </xf>
    <xf numFmtId="0" fontId="108" fillId="0" borderId="0" xfId="0" applyFont="1" applyFill="1" applyBorder="1" applyAlignment="1">
      <alignment horizontal="center" vertical="center"/>
    </xf>
    <xf numFmtId="199" fontId="64" fillId="0" borderId="0" xfId="3" applyNumberFormat="1" applyFont="1" applyAlignment="1">
      <alignment horizontal="center" vertical="center"/>
    </xf>
    <xf numFmtId="41" fontId="65" fillId="0" borderId="64" xfId="1" applyFont="1" applyBorder="1" applyAlignment="1">
      <alignment horizontal="center" vertical="center"/>
    </xf>
    <xf numFmtId="41" fontId="61" fillId="0" borderId="2" xfId="1" applyFont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176" fontId="65" fillId="6" borderId="3" xfId="1" applyNumberFormat="1" applyFont="1" applyFill="1" applyBorder="1" applyAlignment="1">
      <alignment horizontal="right" vertical="center"/>
    </xf>
    <xf numFmtId="176" fontId="65" fillId="6" borderId="5" xfId="1" applyNumberFormat="1" applyFont="1" applyFill="1" applyBorder="1" applyAlignment="1">
      <alignment horizontal="right" vertical="center"/>
    </xf>
    <xf numFmtId="176" fontId="65" fillId="6" borderId="4" xfId="1" applyNumberFormat="1" applyFont="1" applyFill="1" applyBorder="1" applyAlignment="1">
      <alignment horizontal="right" vertical="center"/>
    </xf>
    <xf numFmtId="41" fontId="93" fillId="3" borderId="3" xfId="1" applyFont="1" applyFill="1" applyBorder="1" applyAlignment="1">
      <alignment horizontal="center" vertical="center"/>
    </xf>
    <xf numFmtId="41" fontId="93" fillId="3" borderId="5" xfId="1" applyFont="1" applyFill="1" applyBorder="1" applyAlignment="1">
      <alignment horizontal="center" vertical="center"/>
    </xf>
    <xf numFmtId="41" fontId="93" fillId="3" borderId="4" xfId="1" applyFont="1" applyFill="1" applyBorder="1" applyAlignment="1">
      <alignment horizontal="center" vertical="center"/>
    </xf>
    <xf numFmtId="176" fontId="93" fillId="3" borderId="3" xfId="1" applyNumberFormat="1" applyFont="1" applyFill="1" applyBorder="1" applyAlignment="1">
      <alignment horizontal="right" vertical="center"/>
    </xf>
    <xf numFmtId="176" fontId="93" fillId="3" borderId="5" xfId="1" applyNumberFormat="1" applyFont="1" applyFill="1" applyBorder="1" applyAlignment="1">
      <alignment horizontal="right" vertical="center"/>
    </xf>
    <xf numFmtId="176" fontId="93" fillId="3" borderId="4" xfId="1" applyNumberFormat="1" applyFont="1" applyFill="1" applyBorder="1" applyAlignment="1">
      <alignment horizontal="right" vertical="center"/>
    </xf>
    <xf numFmtId="41" fontId="143" fillId="0" borderId="3" xfId="1" applyFont="1" applyBorder="1" applyAlignment="1">
      <alignment horizontal="left" vertical="center"/>
    </xf>
    <xf numFmtId="41" fontId="143" fillId="0" borderId="5" xfId="1" applyFont="1" applyBorder="1" applyAlignment="1">
      <alignment horizontal="left" vertical="center"/>
    </xf>
    <xf numFmtId="41" fontId="143" fillId="0" borderId="29" xfId="1" applyFont="1" applyBorder="1" applyAlignment="1">
      <alignment horizontal="left" vertical="center"/>
    </xf>
    <xf numFmtId="41" fontId="65" fillId="6" borderId="3" xfId="1" applyFont="1" applyFill="1" applyBorder="1" applyAlignment="1">
      <alignment horizontal="center" vertical="center"/>
    </xf>
    <xf numFmtId="41" fontId="65" fillId="6" borderId="5" xfId="1" applyFont="1" applyFill="1" applyBorder="1" applyAlignment="1">
      <alignment horizontal="center" vertical="center"/>
    </xf>
    <xf numFmtId="41" fontId="65" fillId="6" borderId="4" xfId="1" applyFont="1" applyFill="1" applyBorder="1" applyAlignment="1">
      <alignment horizontal="center" vertical="center"/>
    </xf>
    <xf numFmtId="0" fontId="65" fillId="3" borderId="47" xfId="0" applyFont="1" applyFill="1" applyBorder="1" applyAlignment="1">
      <alignment horizontal="center" vertical="center"/>
    </xf>
    <xf numFmtId="41" fontId="113" fillId="0" borderId="0" xfId="1" applyFont="1" applyFill="1" applyBorder="1" applyAlignment="1">
      <alignment horizontal="center" vertical="center"/>
    </xf>
    <xf numFmtId="41" fontId="106" fillId="0" borderId="0" xfId="1" applyFont="1" applyFill="1" applyBorder="1" applyAlignment="1">
      <alignment horizontal="center" vertical="center"/>
    </xf>
    <xf numFmtId="0" fontId="65" fillId="3" borderId="77" xfId="0" applyFont="1" applyFill="1" applyBorder="1" applyAlignment="1">
      <alignment horizontal="center" vertical="center" textRotation="255"/>
    </xf>
    <xf numFmtId="0" fontId="65" fillId="3" borderId="49" xfId="0" applyFont="1" applyFill="1" applyBorder="1" applyAlignment="1">
      <alignment horizontal="center" vertical="center" textRotation="255"/>
    </xf>
    <xf numFmtId="0" fontId="65" fillId="3" borderId="78" xfId="0" applyFont="1" applyFill="1" applyBorder="1" applyAlignment="1">
      <alignment horizontal="center" vertical="center" textRotation="255"/>
    </xf>
    <xf numFmtId="0" fontId="65" fillId="6" borderId="24" xfId="0" applyFont="1" applyFill="1" applyBorder="1" applyAlignment="1">
      <alignment horizontal="center" vertical="center"/>
    </xf>
    <xf numFmtId="0" fontId="65" fillId="6" borderId="25" xfId="0" applyFont="1" applyFill="1" applyBorder="1" applyAlignment="1">
      <alignment horizontal="center" vertical="center"/>
    </xf>
    <xf numFmtId="0" fontId="65" fillId="6" borderId="26" xfId="0" applyFont="1" applyFill="1" applyBorder="1" applyAlignment="1">
      <alignment horizontal="center" vertical="center"/>
    </xf>
    <xf numFmtId="0" fontId="65" fillId="6" borderId="47" xfId="0" applyFont="1" applyFill="1" applyBorder="1" applyAlignment="1">
      <alignment horizontal="center" vertical="center"/>
    </xf>
    <xf numFmtId="0" fontId="65" fillId="6" borderId="5" xfId="0" applyFont="1" applyFill="1" applyBorder="1" applyAlignment="1">
      <alignment horizontal="center" vertical="center"/>
    </xf>
    <xf numFmtId="0" fontId="65" fillId="6" borderId="4" xfId="0" applyFont="1" applyFill="1" applyBorder="1" applyAlignment="1">
      <alignment horizontal="center" vertical="center"/>
    </xf>
    <xf numFmtId="0" fontId="65" fillId="3" borderId="63" xfId="0" applyFont="1" applyFill="1" applyBorder="1" applyAlignment="1">
      <alignment horizontal="center" vertical="center" textRotation="255"/>
    </xf>
    <xf numFmtId="0" fontId="65" fillId="6" borderId="3" xfId="0" applyFont="1" applyFill="1" applyBorder="1" applyAlignment="1">
      <alignment horizontal="center" vertical="center"/>
    </xf>
    <xf numFmtId="41" fontId="65" fillId="6" borderId="79" xfId="1" applyFont="1" applyFill="1" applyBorder="1" applyAlignment="1">
      <alignment horizontal="center" vertical="center"/>
    </xf>
    <xf numFmtId="41" fontId="65" fillId="6" borderId="29" xfId="1" applyFont="1" applyFill="1" applyBorder="1" applyAlignment="1">
      <alignment horizontal="center" vertical="center"/>
    </xf>
    <xf numFmtId="199" fontId="86" fillId="0" borderId="82" xfId="1" applyNumberFormat="1" applyFont="1" applyBorder="1" applyAlignment="1">
      <alignment horizontal="center" vertical="center"/>
    </xf>
    <xf numFmtId="41" fontId="86" fillId="0" borderId="83" xfId="1" applyFont="1" applyBorder="1" applyAlignment="1">
      <alignment horizontal="center" vertical="center"/>
    </xf>
    <xf numFmtId="41" fontId="86" fillId="0" borderId="84" xfId="1" applyFont="1" applyBorder="1" applyAlignment="1">
      <alignment horizontal="center" vertical="center"/>
    </xf>
    <xf numFmtId="41" fontId="113" fillId="0" borderId="0" xfId="1" applyFont="1" applyFill="1" applyBorder="1" applyAlignment="1">
      <alignment horizontal="left" vertical="center"/>
    </xf>
    <xf numFmtId="41" fontId="95" fillId="0" borderId="0" xfId="1" applyFont="1" applyAlignment="1">
      <alignment horizontal="center" vertical="center"/>
    </xf>
    <xf numFmtId="41" fontId="65" fillId="0" borderId="0" xfId="0" applyNumberFormat="1" applyFont="1" applyBorder="1" applyAlignment="1">
      <alignment horizontal="center" vertical="center"/>
    </xf>
    <xf numFmtId="202" fontId="65" fillId="0" borderId="0" xfId="0" applyNumberFormat="1" applyFont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41" fontId="65" fillId="0" borderId="81" xfId="0" applyNumberFormat="1" applyFont="1" applyBorder="1" applyAlignment="1">
      <alignment horizontal="center" vertical="center"/>
    </xf>
    <xf numFmtId="0" fontId="65" fillId="0" borderId="89" xfId="0" applyFont="1" applyBorder="1" applyAlignment="1">
      <alignment horizontal="center" vertical="center"/>
    </xf>
    <xf numFmtId="41" fontId="9" fillId="3" borderId="10" xfId="1" applyFont="1" applyFill="1" applyBorder="1" applyAlignment="1">
      <alignment horizontal="left" vertical="center"/>
    </xf>
    <xf numFmtId="181" fontId="9" fillId="3" borderId="8" xfId="0" applyNumberFormat="1" applyFont="1" applyFill="1" applyBorder="1" applyAlignment="1">
      <alignment horizontal="center" vertical="center"/>
    </xf>
    <xf numFmtId="181" fontId="9" fillId="3" borderId="9" xfId="0" applyNumberFormat="1" applyFont="1" applyFill="1" applyBorder="1" applyAlignment="1">
      <alignment horizontal="center" vertical="center"/>
    </xf>
    <xf numFmtId="181" fontId="9" fillId="3" borderId="18" xfId="0" applyNumberFormat="1" applyFont="1" applyFill="1" applyBorder="1" applyAlignment="1">
      <alignment horizontal="center" vertical="center"/>
    </xf>
    <xf numFmtId="181" fontId="110" fillId="3" borderId="0" xfId="0" applyNumberFormat="1" applyFont="1" applyFill="1" applyBorder="1" applyAlignment="1">
      <alignment horizontal="center" vertical="center"/>
    </xf>
    <xf numFmtId="180" fontId="114" fillId="3" borderId="0" xfId="0" applyNumberFormat="1" applyFont="1" applyFill="1" applyBorder="1" applyAlignment="1">
      <alignment horizontal="left" vertical="center"/>
    </xf>
    <xf numFmtId="0" fontId="114" fillId="3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distributed" vertical="center" indent="1"/>
    </xf>
    <xf numFmtId="0" fontId="15" fillId="0" borderId="6" xfId="0" applyFont="1" applyFill="1" applyBorder="1" applyAlignment="1">
      <alignment horizontal="distributed" vertical="center" indent="1"/>
    </xf>
    <xf numFmtId="0" fontId="15" fillId="0" borderId="18" xfId="0" applyFont="1" applyFill="1" applyBorder="1" applyAlignment="1">
      <alignment horizontal="distributed" vertical="center" indent="1"/>
    </xf>
    <xf numFmtId="0" fontId="15" fillId="0" borderId="19" xfId="0" applyFont="1" applyFill="1" applyBorder="1" applyAlignment="1">
      <alignment horizontal="distributed" vertical="center" indent="1"/>
    </xf>
    <xf numFmtId="0" fontId="17" fillId="0" borderId="3" xfId="0" applyFont="1" applyFill="1" applyBorder="1" applyAlignment="1">
      <alignment horizontal="distributed" vertical="center" wrapText="1"/>
    </xf>
    <xf numFmtId="0" fontId="17" fillId="0" borderId="4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distributed" vertical="center" indent="1" shrinkToFit="1"/>
    </xf>
    <xf numFmtId="0" fontId="15" fillId="0" borderId="4" xfId="0" applyFont="1" applyFill="1" applyBorder="1" applyAlignment="1">
      <alignment horizontal="distributed" vertical="center" indent="1" shrinkToFit="1"/>
    </xf>
    <xf numFmtId="41" fontId="9" fillId="0" borderId="3" xfId="1" applyFont="1" applyFill="1" applyBorder="1" applyAlignment="1">
      <alignment horizontal="center" vertical="center"/>
    </xf>
    <xf numFmtId="41" fontId="9" fillId="0" borderId="5" xfId="1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right" vertical="center" indent="1"/>
    </xf>
    <xf numFmtId="176" fontId="9" fillId="0" borderId="4" xfId="1" applyNumberFormat="1" applyFont="1" applyFill="1" applyBorder="1" applyAlignment="1">
      <alignment horizontal="right" vertical="center" indent="1"/>
    </xf>
    <xf numFmtId="0" fontId="17" fillId="0" borderId="3" xfId="0" applyFont="1" applyFill="1" applyBorder="1" applyAlignment="1">
      <alignment horizontal="distributed" vertical="center" wrapText="1" shrinkToFit="1"/>
    </xf>
    <xf numFmtId="0" fontId="17" fillId="0" borderId="4" xfId="0" applyFont="1" applyFill="1" applyBorder="1" applyAlignment="1">
      <alignment horizontal="distributed" vertical="center" shrinkToFit="1"/>
    </xf>
    <xf numFmtId="41" fontId="9" fillId="0" borderId="2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 indent="1"/>
    </xf>
    <xf numFmtId="0" fontId="15" fillId="0" borderId="4" xfId="0" applyFont="1" applyFill="1" applyBorder="1" applyAlignment="1">
      <alignment horizontal="distributed" vertical="center" indent="1"/>
    </xf>
    <xf numFmtId="41" fontId="9" fillId="0" borderId="3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right" vertical="center"/>
    </xf>
    <xf numFmtId="41" fontId="9" fillId="0" borderId="4" xfId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176" fontId="9" fillId="0" borderId="18" xfId="1" applyNumberFormat="1" applyFont="1" applyFill="1" applyBorder="1" applyAlignment="1">
      <alignment horizontal="right" vertical="center"/>
    </xf>
    <xf numFmtId="176" fontId="9" fillId="0" borderId="19" xfId="1" applyNumberFormat="1" applyFont="1" applyFill="1" applyBorder="1" applyAlignment="1">
      <alignment horizontal="right" vertical="center"/>
    </xf>
    <xf numFmtId="176" fontId="9" fillId="0" borderId="3" xfId="1" applyNumberFormat="1" applyFont="1" applyFill="1" applyBorder="1" applyAlignment="1">
      <alignment horizontal="right" vertical="center"/>
    </xf>
    <xf numFmtId="176" fontId="9" fillId="0" borderId="4" xfId="1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distributed" vertical="center" wrapText="1" indent="1" shrinkToFit="1"/>
    </xf>
    <xf numFmtId="0" fontId="29" fillId="0" borderId="4" xfId="0" applyFont="1" applyFill="1" applyBorder="1" applyAlignment="1">
      <alignment horizontal="distributed" vertical="center" indent="1" shrinkToFit="1"/>
    </xf>
    <xf numFmtId="0" fontId="15" fillId="0" borderId="18" xfId="0" applyFont="1" applyFill="1" applyBorder="1" applyAlignment="1">
      <alignment horizontal="distributed" vertical="center" indent="1" shrinkToFit="1"/>
    </xf>
    <xf numFmtId="0" fontId="15" fillId="0" borderId="19" xfId="0" applyFont="1" applyFill="1" applyBorder="1" applyAlignment="1">
      <alignment horizontal="distributed" vertical="center" indent="1" shrinkToFit="1"/>
    </xf>
    <xf numFmtId="0" fontId="17" fillId="0" borderId="18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41" fontId="9" fillId="0" borderId="18" xfId="1" applyFont="1" applyFill="1" applyBorder="1" applyAlignment="1">
      <alignment horizontal="center" vertical="center"/>
    </xf>
    <xf numFmtId="41" fontId="9" fillId="0" borderId="10" xfId="1" applyFont="1" applyFill="1" applyBorder="1" applyAlignment="1">
      <alignment horizontal="center" vertical="center"/>
    </xf>
    <xf numFmtId="41" fontId="9" fillId="0" borderId="19" xfId="1" applyFont="1" applyFill="1" applyBorder="1" applyAlignment="1">
      <alignment horizontal="center" vertical="center"/>
    </xf>
    <xf numFmtId="41" fontId="9" fillId="0" borderId="12" xfId="1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distributed" vertical="center" indent="1" shrinkToFit="1"/>
    </xf>
    <xf numFmtId="0" fontId="47" fillId="0" borderId="4" xfId="0" applyFont="1" applyFill="1" applyBorder="1" applyAlignment="1">
      <alignment horizontal="distributed" vertical="center" indent="1" shrinkToFit="1"/>
    </xf>
    <xf numFmtId="0" fontId="17" fillId="0" borderId="18" xfId="0" applyFont="1" applyFill="1" applyBorder="1" applyAlignment="1">
      <alignment horizontal="distributed" vertical="center" wrapText="1"/>
    </xf>
    <xf numFmtId="0" fontId="17" fillId="0" borderId="5" xfId="0" applyFont="1" applyFill="1" applyBorder="1" applyAlignment="1">
      <alignment horizontal="distributed" vertical="center"/>
    </xf>
    <xf numFmtId="0" fontId="47" fillId="0" borderId="3" xfId="0" applyFont="1" applyFill="1" applyBorder="1" applyAlignment="1">
      <alignment horizontal="distributed" vertical="center" wrapText="1"/>
    </xf>
    <xf numFmtId="0" fontId="47" fillId="0" borderId="4" xfId="0" applyFont="1" applyFill="1" applyBorder="1" applyAlignment="1">
      <alignment horizontal="distributed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/>
    </xf>
    <xf numFmtId="41" fontId="10" fillId="0" borderId="12" xfId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distributed" vertical="center" indent="1" shrinkToFit="1"/>
    </xf>
    <xf numFmtId="0" fontId="15" fillId="0" borderId="6" xfId="0" applyFont="1" applyFill="1" applyBorder="1" applyAlignment="1">
      <alignment horizontal="distributed" vertical="center" indent="1" shrinkToFit="1"/>
    </xf>
    <xf numFmtId="0" fontId="15" fillId="0" borderId="9" xfId="0" applyFont="1" applyFill="1" applyBorder="1" applyAlignment="1">
      <alignment horizontal="distributed" vertical="center" indent="1" shrinkToFit="1"/>
    </xf>
    <xf numFmtId="0" fontId="15" fillId="0" borderId="7" xfId="0" applyFont="1" applyFill="1" applyBorder="1" applyAlignment="1">
      <alignment horizontal="distributed" vertical="center" indent="1" shrinkToFit="1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distributed" vertical="center" indent="1"/>
    </xf>
    <xf numFmtId="0" fontId="14" fillId="0" borderId="5" xfId="0" applyFont="1" applyFill="1" applyBorder="1" applyAlignment="1">
      <alignment horizontal="distributed" vertical="center" indent="1"/>
    </xf>
    <xf numFmtId="0" fontId="14" fillId="0" borderId="4" xfId="0" applyFont="1" applyFill="1" applyBorder="1" applyAlignment="1">
      <alignment horizontal="distributed" vertical="center" indent="1"/>
    </xf>
    <xf numFmtId="176" fontId="14" fillId="0" borderId="2" xfId="1" applyNumberFormat="1" applyFont="1" applyFill="1" applyBorder="1" applyAlignment="1">
      <alignment horizontal="right" vertical="center" indent="1"/>
    </xf>
    <xf numFmtId="0" fontId="14" fillId="0" borderId="12" xfId="0" applyFont="1" applyFill="1" applyBorder="1" applyAlignment="1">
      <alignment horizontal="distributed" vertical="center"/>
    </xf>
    <xf numFmtId="176" fontId="10" fillId="0" borderId="18" xfId="1" applyNumberFormat="1" applyFont="1" applyFill="1" applyBorder="1" applyAlignment="1">
      <alignment horizontal="right" vertical="center" indent="1"/>
    </xf>
    <xf numFmtId="176" fontId="10" fillId="0" borderId="19" xfId="1" applyNumberFormat="1" applyFont="1" applyFill="1" applyBorder="1" applyAlignment="1">
      <alignment horizontal="right" vertical="center" indent="1"/>
    </xf>
    <xf numFmtId="0" fontId="47" fillId="0" borderId="3" xfId="0" applyFont="1" applyFill="1" applyBorder="1" applyAlignment="1">
      <alignment horizontal="distributed" vertical="center" shrinkToFit="1"/>
    </xf>
    <xf numFmtId="0" fontId="47" fillId="0" borderId="4" xfId="0" applyFont="1" applyFill="1" applyBorder="1" applyAlignment="1">
      <alignment horizontal="distributed" vertical="center" shrinkToFit="1"/>
    </xf>
    <xf numFmtId="0" fontId="14" fillId="0" borderId="3" xfId="0" applyFont="1" applyFill="1" applyBorder="1" applyAlignment="1">
      <alignment horizontal="distributed" vertical="center" wrapText="1" indent="1"/>
    </xf>
    <xf numFmtId="0" fontId="14" fillId="0" borderId="4" xfId="0" applyFont="1" applyFill="1" applyBorder="1" applyAlignment="1">
      <alignment horizontal="distributed" vertical="center" wrapText="1" indent="1"/>
    </xf>
    <xf numFmtId="176" fontId="14" fillId="0" borderId="3" xfId="1" applyNumberFormat="1" applyFont="1" applyFill="1" applyBorder="1" applyAlignment="1">
      <alignment horizontal="right" vertical="center" indent="1"/>
    </xf>
    <xf numFmtId="176" fontId="14" fillId="0" borderId="5" xfId="1" applyNumberFormat="1" applyFont="1" applyFill="1" applyBorder="1" applyAlignment="1">
      <alignment horizontal="right" vertical="center" indent="1"/>
    </xf>
    <xf numFmtId="176" fontId="14" fillId="0" borderId="4" xfId="1" applyNumberFormat="1" applyFont="1" applyFill="1" applyBorder="1" applyAlignment="1">
      <alignment horizontal="right" vertical="center" inden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right" vertical="center"/>
    </xf>
    <xf numFmtId="176" fontId="91" fillId="0" borderId="2" xfId="1" applyNumberFormat="1" applyFont="1" applyFill="1" applyBorder="1" applyAlignment="1">
      <alignment horizontal="right" vertical="center" indent="1"/>
    </xf>
    <xf numFmtId="0" fontId="14" fillId="0" borderId="20" xfId="0" applyFont="1" applyFill="1" applyBorder="1" applyAlignment="1">
      <alignment horizontal="distributed" vertical="center" indent="1"/>
    </xf>
    <xf numFmtId="0" fontId="14" fillId="0" borderId="22" xfId="0" applyFont="1" applyFill="1" applyBorder="1" applyAlignment="1">
      <alignment horizontal="distributed" vertical="center" indent="1"/>
    </xf>
    <xf numFmtId="0" fontId="14" fillId="0" borderId="21" xfId="0" applyFont="1" applyFill="1" applyBorder="1" applyAlignment="1">
      <alignment horizontal="distributed" vertical="center" indent="1"/>
    </xf>
    <xf numFmtId="176" fontId="91" fillId="0" borderId="12" xfId="1" applyNumberFormat="1" applyFont="1" applyFill="1" applyBorder="1" applyAlignment="1">
      <alignment horizontal="right" vertical="center" indent="1"/>
    </xf>
    <xf numFmtId="176" fontId="91" fillId="0" borderId="3" xfId="1" applyNumberFormat="1" applyFont="1" applyFill="1" applyBorder="1" applyAlignment="1">
      <alignment horizontal="right" vertical="center" indent="1"/>
    </xf>
    <xf numFmtId="176" fontId="91" fillId="0" borderId="5" xfId="1" applyNumberFormat="1" applyFont="1" applyFill="1" applyBorder="1" applyAlignment="1">
      <alignment horizontal="right" vertical="center" indent="1"/>
    </xf>
    <xf numFmtId="176" fontId="91" fillId="0" borderId="4" xfId="1" applyNumberFormat="1" applyFont="1" applyFill="1" applyBorder="1" applyAlignment="1">
      <alignment horizontal="right" vertical="center" inden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10" fillId="0" borderId="3" xfId="1" applyNumberFormat="1" applyFont="1" applyFill="1" applyBorder="1" applyAlignment="1">
      <alignment horizontal="right" vertical="center" indent="1"/>
    </xf>
    <xf numFmtId="176" fontId="10" fillId="0" borderId="5" xfId="1" applyNumberFormat="1" applyFont="1" applyFill="1" applyBorder="1" applyAlignment="1">
      <alignment horizontal="right" vertical="center" indent="1"/>
    </xf>
    <xf numFmtId="176" fontId="10" fillId="0" borderId="4" xfId="1" applyNumberFormat="1" applyFont="1" applyFill="1" applyBorder="1" applyAlignment="1">
      <alignment horizontal="right" vertical="center" indent="1"/>
    </xf>
    <xf numFmtId="0" fontId="47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indent="1"/>
    </xf>
    <xf numFmtId="0" fontId="5" fillId="0" borderId="5" xfId="0" applyFont="1" applyFill="1" applyBorder="1" applyAlignment="1">
      <alignment horizontal="distributed" indent="1"/>
    </xf>
    <xf numFmtId="0" fontId="5" fillId="0" borderId="5" xfId="0" applyFont="1" applyFill="1" applyBorder="1"/>
    <xf numFmtId="0" fontId="5" fillId="0" borderId="4" xfId="0" applyFont="1" applyFill="1" applyBorder="1"/>
    <xf numFmtId="176" fontId="21" fillId="0" borderId="2" xfId="1" applyNumberFormat="1" applyFont="1" applyFill="1" applyBorder="1" applyAlignment="1">
      <alignment horizontal="right" vertical="center" indent="1"/>
    </xf>
    <xf numFmtId="0" fontId="9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distributed" vertical="distributed"/>
    </xf>
    <xf numFmtId="0" fontId="14" fillId="0" borderId="4" xfId="0" applyFont="1" applyFill="1" applyBorder="1" applyAlignment="1">
      <alignment horizontal="distributed" vertical="distributed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wrapText="1" indent="1"/>
    </xf>
    <xf numFmtId="0" fontId="14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4" xfId="0" applyFill="1" applyBorder="1"/>
    <xf numFmtId="176" fontId="9" fillId="0" borderId="18" xfId="1" applyNumberFormat="1" applyFont="1" applyFill="1" applyBorder="1" applyAlignment="1">
      <alignment horizontal="right" vertical="center" indent="1"/>
    </xf>
    <xf numFmtId="176" fontId="9" fillId="0" borderId="19" xfId="1" applyNumberFormat="1" applyFont="1" applyFill="1" applyBorder="1" applyAlignment="1">
      <alignment horizontal="right" vertical="center" inden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distributed" vertical="center" wrapText="1" shrinkToFit="1"/>
    </xf>
    <xf numFmtId="0" fontId="15" fillId="0" borderId="4" xfId="0" applyFont="1" applyFill="1" applyBorder="1" applyAlignment="1">
      <alignment horizontal="distributed" vertical="center" wrapText="1" shrinkToFi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distributed" vertical="center" indent="1" shrinkToFit="1"/>
    </xf>
    <xf numFmtId="0" fontId="17" fillId="0" borderId="4" xfId="0" applyFont="1" applyFill="1" applyBorder="1" applyAlignment="1">
      <alignment horizontal="distributed" vertical="center" indent="1" shrinkToFit="1"/>
    </xf>
    <xf numFmtId="0" fontId="9" fillId="0" borderId="0" xfId="0" applyFont="1" applyFill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center" indent="3"/>
    </xf>
    <xf numFmtId="3" fontId="9" fillId="0" borderId="5" xfId="0" applyNumberFormat="1" applyFont="1" applyFill="1" applyBorder="1" applyAlignment="1">
      <alignment horizontal="right" vertical="center" indent="3"/>
    </xf>
    <xf numFmtId="3" fontId="9" fillId="0" borderId="29" xfId="0" applyNumberFormat="1" applyFont="1" applyFill="1" applyBorder="1" applyAlignment="1">
      <alignment horizontal="right" vertical="center" indent="3"/>
    </xf>
    <xf numFmtId="0" fontId="14" fillId="0" borderId="9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9" fillId="0" borderId="52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horizontal="right" vertical="center" indent="3"/>
    </xf>
    <xf numFmtId="3" fontId="10" fillId="0" borderId="5" xfId="0" applyNumberFormat="1" applyFont="1" applyFill="1" applyBorder="1" applyAlignment="1">
      <alignment horizontal="right" vertical="center" indent="3"/>
    </xf>
    <xf numFmtId="3" fontId="10" fillId="0" borderId="29" xfId="0" applyNumberFormat="1" applyFont="1" applyFill="1" applyBorder="1" applyAlignment="1">
      <alignment horizontal="right" vertical="center" indent="3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1" fontId="14" fillId="0" borderId="9" xfId="1" applyFont="1" applyFill="1" applyBorder="1" applyAlignment="1">
      <alignment horizontal="center" vertical="center"/>
    </xf>
    <xf numFmtId="41" fontId="14" fillId="0" borderId="48" xfId="1" applyFont="1" applyFill="1" applyBorder="1" applyAlignment="1">
      <alignment horizontal="center" vertical="center"/>
    </xf>
    <xf numFmtId="41" fontId="14" fillId="0" borderId="9" xfId="1" applyFont="1" applyFill="1" applyBorder="1" applyAlignment="1">
      <alignment horizontal="right" vertical="center"/>
    </xf>
    <xf numFmtId="41" fontId="14" fillId="0" borderId="48" xfId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indent="1"/>
    </xf>
    <xf numFmtId="31" fontId="9" fillId="0" borderId="0" xfId="0" applyNumberFormat="1" applyFont="1" applyFill="1" applyBorder="1" applyAlignment="1">
      <alignment horizontal="right" vertical="center"/>
    </xf>
    <xf numFmtId="31" fontId="9" fillId="0" borderId="48" xfId="0" applyNumberFormat="1" applyFont="1" applyFill="1" applyBorder="1" applyAlignment="1">
      <alignment horizontal="right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41" fontId="9" fillId="0" borderId="95" xfId="1" applyFont="1" applyFill="1" applyBorder="1" applyAlignment="1">
      <alignment horizontal="center" vertical="center"/>
    </xf>
    <xf numFmtId="41" fontId="9" fillId="0" borderId="34" xfId="1" applyFont="1" applyFill="1" applyBorder="1" applyAlignment="1">
      <alignment horizontal="center" vertical="center"/>
    </xf>
    <xf numFmtId="41" fontId="9" fillId="0" borderId="8" xfId="0" applyNumberFormat="1" applyFont="1" applyFill="1" applyBorder="1" applyAlignment="1">
      <alignment horizontal="center" vertical="center"/>
    </xf>
    <xf numFmtId="41" fontId="9" fillId="0" borderId="45" xfId="0" applyNumberFormat="1" applyFont="1" applyFill="1" applyBorder="1" applyAlignment="1">
      <alignment horizontal="center" vertical="center"/>
    </xf>
    <xf numFmtId="41" fontId="9" fillId="0" borderId="95" xfId="0" applyNumberFormat="1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8" fillId="0" borderId="0" xfId="0" applyFont="1" applyFill="1" applyAlignment="1">
      <alignment horizontal="right" vertical="center"/>
    </xf>
    <xf numFmtId="0" fontId="145" fillId="0" borderId="2" xfId="0" applyNumberFormat="1" applyFont="1" applyFill="1" applyBorder="1" applyAlignment="1">
      <alignment horizontal="distributed" vertical="center" indent="1" shrinkToFit="1"/>
    </xf>
    <xf numFmtId="0" fontId="149" fillId="0" borderId="2" xfId="0" applyFont="1" applyFill="1" applyBorder="1" applyAlignment="1">
      <alignment horizontal="center" vertical="center" wrapText="1"/>
    </xf>
    <xf numFmtId="0" fontId="148" fillId="0" borderId="18" xfId="0" applyFont="1" applyFill="1" applyBorder="1" applyAlignment="1">
      <alignment horizontal="center" vertical="center" textRotation="255"/>
    </xf>
    <xf numFmtId="0" fontId="148" fillId="0" borderId="10" xfId="0" applyFont="1" applyFill="1" applyBorder="1" applyAlignment="1">
      <alignment horizontal="center" vertical="center" textRotation="255"/>
    </xf>
    <xf numFmtId="0" fontId="145" fillId="0" borderId="2" xfId="0" applyFont="1" applyFill="1" applyBorder="1" applyAlignment="1">
      <alignment horizontal="center" vertical="center"/>
    </xf>
    <xf numFmtId="0" fontId="145" fillId="0" borderId="13" xfId="0" applyFont="1" applyFill="1" applyBorder="1" applyAlignment="1">
      <alignment horizontal="center" vertical="center" textRotation="255"/>
    </xf>
    <xf numFmtId="0" fontId="145" fillId="0" borderId="12" xfId="0" applyFont="1" applyFill="1" applyBorder="1" applyAlignment="1">
      <alignment horizontal="center" vertical="center" textRotation="255"/>
    </xf>
    <xf numFmtId="0" fontId="145" fillId="0" borderId="11" xfId="0" applyFont="1" applyFill="1" applyBorder="1" applyAlignment="1">
      <alignment horizontal="distributed" vertical="center" textRotation="255"/>
    </xf>
    <xf numFmtId="0" fontId="145" fillId="0" borderId="13" xfId="0" applyFont="1" applyFill="1" applyBorder="1" applyAlignment="1">
      <alignment horizontal="distributed" vertical="center" textRotation="255"/>
    </xf>
    <xf numFmtId="0" fontId="145" fillId="0" borderId="12" xfId="0" applyFont="1" applyFill="1" applyBorder="1" applyAlignment="1">
      <alignment horizontal="distributed" vertical="center" textRotation="255"/>
    </xf>
    <xf numFmtId="0" fontId="145" fillId="0" borderId="2" xfId="0" applyNumberFormat="1" applyFont="1" applyFill="1" applyBorder="1" applyAlignment="1">
      <alignment horizontal="distributed" vertical="center" indent="1"/>
    </xf>
    <xf numFmtId="41" fontId="148" fillId="0" borderId="2" xfId="1" applyFont="1" applyFill="1" applyBorder="1" applyAlignment="1">
      <alignment horizontal="center" vertical="center"/>
    </xf>
    <xf numFmtId="0" fontId="149" fillId="0" borderId="2" xfId="0" applyFont="1" applyFill="1" applyBorder="1" applyAlignment="1">
      <alignment horizontal="center" vertical="center" shrinkToFit="1"/>
    </xf>
    <xf numFmtId="41" fontId="150" fillId="0" borderId="2" xfId="0" applyNumberFormat="1" applyFont="1" applyFill="1" applyBorder="1" applyAlignment="1">
      <alignment horizontal="center" vertical="center"/>
    </xf>
    <xf numFmtId="0" fontId="150" fillId="0" borderId="2" xfId="0" applyFont="1" applyFill="1" applyBorder="1" applyAlignment="1">
      <alignment horizontal="center" vertical="center"/>
    </xf>
    <xf numFmtId="0" fontId="145" fillId="0" borderId="2" xfId="0" applyNumberFormat="1" applyFont="1" applyFill="1" applyBorder="1" applyAlignment="1">
      <alignment horizontal="distributed" vertical="center" wrapText="1" indent="1"/>
    </xf>
    <xf numFmtId="0" fontId="149" fillId="0" borderId="2" xfId="0" applyFont="1" applyFill="1" applyBorder="1" applyAlignment="1">
      <alignment horizontal="center" vertical="center"/>
    </xf>
    <xf numFmtId="0" fontId="145" fillId="0" borderId="3" xfId="0" applyNumberFormat="1" applyFont="1" applyFill="1" applyBorder="1" applyAlignment="1">
      <alignment horizontal="distributed" vertical="center" indent="1"/>
    </xf>
    <xf numFmtId="0" fontId="145" fillId="0" borderId="4" xfId="0" applyNumberFormat="1" applyFont="1" applyFill="1" applyBorder="1" applyAlignment="1">
      <alignment horizontal="distributed" vertical="center" indent="1"/>
    </xf>
    <xf numFmtId="0" fontId="149" fillId="0" borderId="3" xfId="0" applyFont="1" applyFill="1" applyBorder="1" applyAlignment="1">
      <alignment horizontal="center" vertical="center" shrinkToFit="1"/>
    </xf>
    <xf numFmtId="0" fontId="149" fillId="0" borderId="4" xfId="0" applyFont="1" applyFill="1" applyBorder="1" applyAlignment="1">
      <alignment horizontal="center" vertical="center" shrinkToFit="1"/>
    </xf>
    <xf numFmtId="0" fontId="4" fillId="0" borderId="94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57" fillId="0" borderId="61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2" xfId="0" applyFont="1" applyBorder="1" applyAlignment="1">
      <alignment horizontal="distributed" vertical="center"/>
    </xf>
    <xf numFmtId="0" fontId="57" fillId="0" borderId="59" xfId="0" applyFont="1" applyBorder="1" applyAlignment="1">
      <alignment horizontal="center" vertical="center"/>
    </xf>
    <xf numFmtId="0" fontId="57" fillId="0" borderId="2" xfId="0" applyFont="1" applyBorder="1" applyAlignment="1">
      <alignment horizontal="distributed" vertical="center" textRotation="255"/>
    </xf>
    <xf numFmtId="0" fontId="56" fillId="0" borderId="53" xfId="0" applyFont="1" applyBorder="1" applyAlignment="1">
      <alignment horizontal="center" vertical="center"/>
    </xf>
    <xf numFmtId="0" fontId="57" fillId="0" borderId="3" xfId="0" applyFont="1" applyBorder="1" applyAlignment="1">
      <alignment horizontal="distributed" vertical="center"/>
    </xf>
    <xf numFmtId="0" fontId="57" fillId="0" borderId="4" xfId="0" applyFont="1" applyBorder="1" applyAlignment="1">
      <alignment horizontal="distributed" vertical="center"/>
    </xf>
    <xf numFmtId="0" fontId="151" fillId="0" borderId="0" xfId="0" applyFont="1" applyFill="1" applyBorder="1" applyAlignment="1">
      <alignment horizontal="left" vertical="center"/>
    </xf>
    <xf numFmtId="0" fontId="147" fillId="0" borderId="0" xfId="0" applyFont="1" applyFill="1" applyAlignment="1">
      <alignment horizontal="right" vertical="center"/>
    </xf>
    <xf numFmtId="0" fontId="152" fillId="0" borderId="0" xfId="0" applyFont="1" applyFill="1" applyAlignment="1">
      <alignment horizontal="center" vertical="center"/>
    </xf>
    <xf numFmtId="0" fontId="150" fillId="0" borderId="2" xfId="0" applyFont="1" applyFill="1" applyBorder="1" applyAlignment="1">
      <alignment horizontal="distributed" vertical="center"/>
    </xf>
    <xf numFmtId="0" fontId="149" fillId="0" borderId="2" xfId="0" applyFont="1" applyFill="1" applyBorder="1" applyAlignment="1">
      <alignment horizontal="distributed" vertical="center"/>
    </xf>
  </cellXfs>
  <cellStyles count="9">
    <cellStyle name="40% - 강조색2" xfId="2" builtinId="35"/>
    <cellStyle name="40% - 강조색2 2" xfId="4"/>
    <cellStyle name="백분율" xfId="8" builtinId="5"/>
    <cellStyle name="쉼표 [0]" xfId="1" builtinId="6"/>
    <cellStyle name="쉼표 [0] 2" xfId="7"/>
    <cellStyle name="통화 [0] 2" xfId="3"/>
    <cellStyle name="표준" xfId="0" builtinId="0"/>
    <cellStyle name="표준 2" xfId="6"/>
    <cellStyle name="하이퍼링크" xfId="5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142875</xdr:rowOff>
    </xdr:from>
    <xdr:to>
      <xdr:col>7</xdr:col>
      <xdr:colOff>1152525</xdr:colOff>
      <xdr:row>8</xdr:row>
      <xdr:rowOff>228600</xdr:rowOff>
    </xdr:to>
    <xdr:sp macro="" textlink="">
      <xdr:nvSpPr>
        <xdr:cNvPr id="38338" name="AutoShape 1"/>
        <xdr:cNvSpPr>
          <a:spLocks noChangeArrowheads="1"/>
        </xdr:cNvSpPr>
      </xdr:nvSpPr>
      <xdr:spPr bwMode="auto">
        <a:xfrm>
          <a:off x="390525" y="1409700"/>
          <a:ext cx="5819775" cy="742950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1390650" y="1504950"/>
          <a:ext cx="42767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ko-KR" altLang="en-US" sz="2400" b="1" i="0" strike="noStrike">
              <a:solidFill>
                <a:srgbClr val="000000"/>
              </a:solidFill>
              <a:latin typeface="궁서"/>
              <a:ea typeface="궁서"/>
            </a:rPr>
            <a:t>관리비 부과 내역서</a:t>
          </a:r>
        </a:p>
      </xdr:txBody>
    </xdr:sp>
    <xdr:clientData/>
  </xdr:twoCellAnchor>
  <xdr:twoCellAnchor>
    <xdr:from>
      <xdr:col>5</xdr:col>
      <xdr:colOff>323850</xdr:colOff>
      <xdr:row>10</xdr:row>
      <xdr:rowOff>85725</xdr:rowOff>
    </xdr:from>
    <xdr:to>
      <xdr:col>8</xdr:col>
      <xdr:colOff>304800</xdr:colOff>
      <xdr:row>10</xdr:row>
      <xdr:rowOff>85725</xdr:rowOff>
    </xdr:to>
    <xdr:sp macro="" textlink="">
      <xdr:nvSpPr>
        <xdr:cNvPr id="38340" name="Line 3"/>
        <xdr:cNvSpPr>
          <a:spLocks noChangeShapeType="1"/>
        </xdr:cNvSpPr>
      </xdr:nvSpPr>
      <xdr:spPr bwMode="auto">
        <a:xfrm flipV="1">
          <a:off x="4295775" y="2409825"/>
          <a:ext cx="22193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</xdr:row>
      <xdr:rowOff>85725</xdr:rowOff>
    </xdr:from>
    <xdr:to>
      <xdr:col>3</xdr:col>
      <xdr:colOff>714375</xdr:colOff>
      <xdr:row>10</xdr:row>
      <xdr:rowOff>95250</xdr:rowOff>
    </xdr:to>
    <xdr:sp macro="" textlink="">
      <xdr:nvSpPr>
        <xdr:cNvPr id="38341" name="Line 4"/>
        <xdr:cNvSpPr>
          <a:spLocks noChangeShapeType="1"/>
        </xdr:cNvSpPr>
      </xdr:nvSpPr>
      <xdr:spPr bwMode="auto">
        <a:xfrm>
          <a:off x="19050" y="2409825"/>
          <a:ext cx="2085975" cy="9525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10</xdr:row>
      <xdr:rowOff>114300</xdr:rowOff>
    </xdr:from>
    <xdr:to>
      <xdr:col>0</xdr:col>
      <xdr:colOff>28575</xdr:colOff>
      <xdr:row>46</xdr:row>
      <xdr:rowOff>104775</xdr:rowOff>
    </xdr:to>
    <xdr:sp macro="" textlink="">
      <xdr:nvSpPr>
        <xdr:cNvPr id="38342" name="Line 5"/>
        <xdr:cNvSpPr>
          <a:spLocks noChangeShapeType="1"/>
        </xdr:cNvSpPr>
      </xdr:nvSpPr>
      <xdr:spPr bwMode="auto">
        <a:xfrm>
          <a:off x="28575" y="243840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10</xdr:row>
      <xdr:rowOff>95250</xdr:rowOff>
    </xdr:from>
    <xdr:to>
      <xdr:col>8</xdr:col>
      <xdr:colOff>295275</xdr:colOff>
      <xdr:row>46</xdr:row>
      <xdr:rowOff>85725</xdr:rowOff>
    </xdr:to>
    <xdr:sp macro="" textlink="">
      <xdr:nvSpPr>
        <xdr:cNvPr id="38343" name="Line 6"/>
        <xdr:cNvSpPr>
          <a:spLocks noChangeShapeType="1"/>
        </xdr:cNvSpPr>
      </xdr:nvSpPr>
      <xdr:spPr bwMode="auto">
        <a:xfrm>
          <a:off x="6505575" y="241935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46</xdr:row>
      <xdr:rowOff>95250</xdr:rowOff>
    </xdr:from>
    <xdr:to>
      <xdr:col>8</xdr:col>
      <xdr:colOff>295275</xdr:colOff>
      <xdr:row>46</xdr:row>
      <xdr:rowOff>95250</xdr:rowOff>
    </xdr:to>
    <xdr:sp macro="" textlink="">
      <xdr:nvSpPr>
        <xdr:cNvPr id="38344" name="Line 7"/>
        <xdr:cNvSpPr>
          <a:spLocks noChangeShapeType="1"/>
        </xdr:cNvSpPr>
      </xdr:nvSpPr>
      <xdr:spPr bwMode="auto">
        <a:xfrm>
          <a:off x="28575" y="8982075"/>
          <a:ext cx="6477000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542925</xdr:colOff>
      <xdr:row>48</xdr:row>
      <xdr:rowOff>0</xdr:rowOff>
    </xdr:from>
    <xdr:to>
      <xdr:col>7</xdr:col>
      <xdr:colOff>495300</xdr:colOff>
      <xdr:row>48</xdr:row>
      <xdr:rowOff>0</xdr:rowOff>
    </xdr:to>
    <xdr:sp macro="" textlink="">
      <xdr:nvSpPr>
        <xdr:cNvPr id="26632" name="Text Box 8"/>
        <xdr:cNvSpPr txBox="1">
          <a:spLocks noChangeArrowheads="1"/>
        </xdr:cNvSpPr>
      </xdr:nvSpPr>
      <xdr:spPr bwMode="auto">
        <a:xfrm>
          <a:off x="1390650" y="9229725"/>
          <a:ext cx="4772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2003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년도</a:t>
          </a: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12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월 사업장 회계 증빙서류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200025</xdr:colOff>
      <xdr:row>5</xdr:row>
      <xdr:rowOff>228600</xdr:rowOff>
    </xdr:to>
    <xdr:sp macro="" textlink="">
      <xdr:nvSpPr>
        <xdr:cNvPr id="26633" name="WordArt 9"/>
        <xdr:cNvSpPr>
          <a:spLocks noChangeArrowheads="1" noChangeShapeType="1" noTextEdit="1"/>
        </xdr:cNvSpPr>
      </xdr:nvSpPr>
      <xdr:spPr bwMode="auto">
        <a:xfrm>
          <a:off x="1390650" y="523875"/>
          <a:ext cx="4476750" cy="57150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돋움"/>
              <a:ea typeface="돋움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123825</xdr:rowOff>
    </xdr:to>
    <xdr:sp macro="" textlink="">
      <xdr:nvSpPr>
        <xdr:cNvPr id="26634" name="Music"/>
        <xdr:cNvSpPr>
          <a:spLocks noEditPoints="1" noChangeArrowheads="1"/>
        </xdr:cNvSpPr>
      </xdr:nvSpPr>
      <xdr:spPr bwMode="auto"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 bwMode="auto">
        <a:xfrm>
          <a:off x="8077200" y="443865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/>
        <xdr:cNvSpPr>
          <a:spLocks noEditPoints="1" noChangeArrowheads="1"/>
        </xdr:cNvSpPr>
      </xdr:nvSpPr>
      <xdr:spPr bwMode="auto"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514351</xdr:colOff>
      <xdr:row>0</xdr:row>
      <xdr:rowOff>133350</xdr:rowOff>
    </xdr:from>
    <xdr:to>
      <xdr:col>6</xdr:col>
      <xdr:colOff>161925</xdr:colOff>
      <xdr:row>0</xdr:row>
      <xdr:rowOff>838199</xdr:rowOff>
    </xdr:to>
    <xdr:pic>
      <xdr:nvPicPr>
        <xdr:cNvPr id="6145" name="_x96193288" descr="DRW000004f437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6" y="133350"/>
          <a:ext cx="3590924" cy="7048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84;&#51109;\user-pc\&#51204;&#44592;&#49328;&#52636;\9&#50900;%20&#49328;&#52636;&#45236;&#506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84;&#51109;\user-pc\&#51204;&#44592;&#49328;&#52636;\8&#50900;%20&#49328;&#52636;&#45236;&#506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Sheet2"/>
    </sheetNames>
    <sheetDataSet>
      <sheetData sheetId="0"/>
      <sheetData sheetId="1"/>
      <sheetData sheetId="2">
        <row r="16">
          <cell r="G16">
            <v>533575</v>
          </cell>
          <cell r="K16">
            <v>1404</v>
          </cell>
          <cell r="O16">
            <v>15322</v>
          </cell>
          <cell r="S16">
            <v>1699</v>
          </cell>
        </row>
        <row r="17">
          <cell r="G17">
            <v>25024400</v>
          </cell>
          <cell r="K17">
            <v>3510000</v>
          </cell>
          <cell r="O17">
            <v>2216190</v>
          </cell>
          <cell r="S17">
            <v>257760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Sheet2"/>
    </sheetNames>
    <sheetDataSet>
      <sheetData sheetId="0">
        <row r="3">
          <cell r="C3">
            <v>8</v>
          </cell>
        </row>
        <row r="27">
          <cell r="H27">
            <v>502691</v>
          </cell>
        </row>
        <row r="39">
          <cell r="C39">
            <v>1411</v>
          </cell>
        </row>
      </sheetData>
      <sheetData sheetId="1" refreshError="1"/>
      <sheetData sheetId="2" refreshError="1"/>
      <sheetData sheetId="3">
        <row r="50">
          <cell r="D50">
            <v>19810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 wrap="square" rtlCol="0" anchor="t"/>
      <a:lstStyle>
        <a:defPPr algn="ctr">
          <a:defRPr sz="1100" b="0" i="0" u="none" strike="noStrike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oiseinfo.or.k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48" zoomScaleSheetLayoutView="6" workbookViewId="0"/>
  </sheetViews>
  <sheetFormatPr defaultRowHeight="14.4"/>
  <sheetData/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O33"/>
  <sheetViews>
    <sheetView topLeftCell="C16" workbookViewId="0">
      <selection activeCell="J15" sqref="J15"/>
    </sheetView>
  </sheetViews>
  <sheetFormatPr defaultColWidth="8.8984375" defaultRowHeight="14.4"/>
  <cols>
    <col min="1" max="1" width="14.19921875" style="105" customWidth="1"/>
    <col min="2" max="2" width="22.296875" style="105" customWidth="1"/>
    <col min="3" max="3" width="8.8984375" style="105"/>
    <col min="4" max="4" width="7.69921875" style="105" customWidth="1"/>
    <col min="5" max="5" width="21.8984375" style="105" customWidth="1"/>
    <col min="6" max="6" width="9.59765625" style="105" customWidth="1"/>
    <col min="7" max="7" width="24.69921875" style="105" customWidth="1"/>
    <col min="8" max="10" width="8.8984375" style="105"/>
    <col min="11" max="11" width="9.69921875" style="105" customWidth="1"/>
    <col min="12" max="12" width="18.3984375" style="105" bestFit="1" customWidth="1"/>
    <col min="13" max="13" width="14.59765625" style="312" customWidth="1"/>
    <col min="14" max="14" width="8.796875" style="105" customWidth="1"/>
    <col min="15" max="16384" width="8.8984375" style="105"/>
  </cols>
  <sheetData>
    <row r="1" spans="1:14" ht="15.75" customHeight="1">
      <c r="A1" s="106" t="s">
        <v>155</v>
      </c>
      <c r="B1" s="107" t="s">
        <v>157</v>
      </c>
    </row>
    <row r="2" spans="1:14" ht="15.75" customHeight="1">
      <c r="A2" s="106" t="s">
        <v>156</v>
      </c>
      <c r="B2" s="107" t="s">
        <v>493</v>
      </c>
    </row>
    <row r="10" spans="1:14" ht="15" thickBot="1"/>
    <row r="11" spans="1:14" ht="20.25" customHeight="1" thickBot="1">
      <c r="D11" s="322" t="s">
        <v>285</v>
      </c>
      <c r="E11" s="323" t="s">
        <v>284</v>
      </c>
      <c r="F11" s="323" t="s">
        <v>352</v>
      </c>
      <c r="G11" s="324" t="s">
        <v>98</v>
      </c>
      <c r="K11" s="302"/>
      <c r="L11" s="302"/>
      <c r="M11" s="316"/>
      <c r="N11" s="302"/>
    </row>
    <row r="12" spans="1:14" ht="20.25" customHeight="1">
      <c r="D12" s="306">
        <v>1</v>
      </c>
      <c r="E12" s="308" t="s">
        <v>740</v>
      </c>
      <c r="F12" s="308">
        <v>9</v>
      </c>
      <c r="G12" s="309">
        <v>1344360</v>
      </c>
      <c r="K12" s="317"/>
      <c r="L12" s="318"/>
      <c r="M12" s="319"/>
      <c r="N12" s="320"/>
    </row>
    <row r="13" spans="1:14" ht="20.25" customHeight="1">
      <c r="D13" s="306">
        <v>2</v>
      </c>
      <c r="E13" s="310" t="s">
        <v>741</v>
      </c>
      <c r="F13" s="310">
        <v>5</v>
      </c>
      <c r="G13" s="311">
        <v>1526180</v>
      </c>
      <c r="K13" s="318"/>
      <c r="L13" s="318"/>
      <c r="M13" s="319"/>
      <c r="N13" s="320"/>
    </row>
    <row r="14" spans="1:14" ht="20.25" customHeight="1">
      <c r="D14" s="306">
        <v>3</v>
      </c>
      <c r="E14" s="310" t="s">
        <v>742</v>
      </c>
      <c r="F14" s="310">
        <v>5</v>
      </c>
      <c r="G14" s="311">
        <v>1300230</v>
      </c>
      <c r="K14" s="318"/>
      <c r="L14" s="318"/>
      <c r="M14" s="319"/>
      <c r="N14" s="320"/>
    </row>
    <row r="15" spans="1:14" ht="20.25" customHeight="1">
      <c r="D15" s="306">
        <v>4</v>
      </c>
      <c r="E15" s="310" t="s">
        <v>743</v>
      </c>
      <c r="F15" s="310">
        <v>6</v>
      </c>
      <c r="G15" s="311">
        <v>1064880</v>
      </c>
      <c r="K15" s="321"/>
      <c r="L15" s="318"/>
      <c r="M15" s="319"/>
      <c r="N15" s="320"/>
    </row>
    <row r="16" spans="1:14" ht="20.25" customHeight="1">
      <c r="D16" s="306">
        <v>5</v>
      </c>
      <c r="E16" s="310" t="s">
        <v>744</v>
      </c>
      <c r="F16" s="310">
        <v>8</v>
      </c>
      <c r="G16" s="311">
        <v>1824380</v>
      </c>
      <c r="K16" s="344"/>
      <c r="L16" s="345"/>
      <c r="M16" s="345"/>
      <c r="N16" s="345"/>
    </row>
    <row r="17" spans="4:15" ht="20.25" customHeight="1">
      <c r="D17" s="306">
        <v>6</v>
      </c>
      <c r="E17" s="310" t="s">
        <v>745</v>
      </c>
      <c r="F17" s="310">
        <v>5</v>
      </c>
      <c r="G17" s="311">
        <v>854010</v>
      </c>
      <c r="K17" s="302"/>
      <c r="L17" s="302"/>
      <c r="M17" s="316"/>
      <c r="N17" s="303"/>
      <c r="O17" s="304"/>
    </row>
    <row r="18" spans="4:15" ht="20.25" customHeight="1">
      <c r="D18" s="306">
        <v>7</v>
      </c>
      <c r="E18" s="310" t="s">
        <v>746</v>
      </c>
      <c r="F18" s="310">
        <v>5</v>
      </c>
      <c r="G18" s="311">
        <v>540880</v>
      </c>
      <c r="H18" s="352"/>
      <c r="K18" s="302"/>
      <c r="L18" s="302"/>
      <c r="M18" s="316"/>
      <c r="N18" s="303"/>
      <c r="O18" s="304"/>
    </row>
    <row r="19" spans="4:15" ht="20.25" customHeight="1">
      <c r="D19" s="306">
        <v>8</v>
      </c>
      <c r="E19" s="310" t="s">
        <v>747</v>
      </c>
      <c r="F19" s="310">
        <v>12</v>
      </c>
      <c r="G19" s="311">
        <v>2349490</v>
      </c>
      <c r="H19" s="352"/>
      <c r="K19" s="345"/>
      <c r="L19" s="345"/>
      <c r="M19" s="316"/>
      <c r="N19" s="303"/>
      <c r="O19" s="304"/>
    </row>
    <row r="20" spans="4:15" ht="20.25" customHeight="1">
      <c r="D20" s="306">
        <v>9</v>
      </c>
      <c r="E20" s="310" t="s">
        <v>748</v>
      </c>
      <c r="F20" s="310">
        <v>7</v>
      </c>
      <c r="G20" s="311">
        <v>909320</v>
      </c>
      <c r="H20" s="352"/>
      <c r="K20" s="345"/>
      <c r="L20" s="345"/>
      <c r="M20" s="316"/>
      <c r="N20" s="303"/>
      <c r="O20" s="304"/>
    </row>
    <row r="21" spans="4:15" ht="20.25" customHeight="1" thickBot="1">
      <c r="D21" s="306">
        <v>10</v>
      </c>
      <c r="E21" s="310" t="s">
        <v>749</v>
      </c>
      <c r="F21" s="310">
        <v>9</v>
      </c>
      <c r="G21" s="311">
        <v>1125270</v>
      </c>
      <c r="H21" s="352"/>
      <c r="K21" s="345"/>
      <c r="L21" s="345"/>
      <c r="M21" s="316"/>
      <c r="N21" s="303"/>
      <c r="O21" s="304"/>
    </row>
    <row r="22" spans="4:15" ht="20.25" hidden="1" customHeight="1" thickBot="1">
      <c r="D22" s="306"/>
      <c r="E22" s="612"/>
      <c r="F22" s="612"/>
      <c r="G22" s="613"/>
      <c r="H22" s="352"/>
      <c r="K22" s="345"/>
      <c r="L22" s="345"/>
      <c r="M22" s="316"/>
      <c r="N22" s="303"/>
      <c r="O22" s="304"/>
    </row>
    <row r="23" spans="4:15" ht="20.25" customHeight="1" thickBot="1">
      <c r="D23" s="325"/>
      <c r="E23" s="326"/>
      <c r="F23" s="323" t="s">
        <v>286</v>
      </c>
      <c r="G23" s="327">
        <f>SUM(G12:G22)</f>
        <v>12839000</v>
      </c>
      <c r="K23" s="304"/>
      <c r="L23" s="304"/>
      <c r="M23" s="316"/>
      <c r="N23" s="303"/>
      <c r="O23" s="304"/>
    </row>
    <row r="24" spans="4:15" ht="15" thickBot="1">
      <c r="K24" s="304"/>
      <c r="L24" s="304"/>
      <c r="M24" s="303"/>
      <c r="N24" s="304"/>
      <c r="O24" s="304"/>
    </row>
    <row r="25" spans="4:15" ht="15" thickBot="1">
      <c r="K25" s="268" t="s">
        <v>333</v>
      </c>
      <c r="L25" s="269" t="s">
        <v>334</v>
      </c>
      <c r="M25" s="313" t="s">
        <v>335</v>
      </c>
      <c r="N25" s="270" t="s">
        <v>345</v>
      </c>
    </row>
    <row r="26" spans="4:15" ht="11.25" customHeight="1">
      <c r="K26" s="305">
        <v>3.1</v>
      </c>
      <c r="L26" s="308" t="s">
        <v>338</v>
      </c>
      <c r="M26" s="314">
        <v>3000000</v>
      </c>
      <c r="N26" s="309" t="s">
        <v>348</v>
      </c>
    </row>
    <row r="27" spans="4:15" ht="11.25" customHeight="1">
      <c r="K27" s="306">
        <v>3.31</v>
      </c>
      <c r="L27" s="310" t="s">
        <v>339</v>
      </c>
      <c r="M27" s="315">
        <v>1988800</v>
      </c>
      <c r="N27" s="311" t="s">
        <v>349</v>
      </c>
    </row>
    <row r="28" spans="4:15" ht="11.25" customHeight="1">
      <c r="K28" s="306">
        <v>3.31</v>
      </c>
      <c r="L28" s="310" t="s">
        <v>340</v>
      </c>
      <c r="M28" s="315">
        <v>2090000</v>
      </c>
      <c r="N28" s="311" t="s">
        <v>349</v>
      </c>
    </row>
    <row r="29" spans="4:15" ht="11.25" customHeight="1">
      <c r="K29" s="306" t="s">
        <v>336</v>
      </c>
      <c r="L29" s="310" t="s">
        <v>341</v>
      </c>
      <c r="M29" s="315">
        <v>8400000</v>
      </c>
      <c r="N29" s="311" t="s">
        <v>346</v>
      </c>
    </row>
    <row r="30" spans="4:15" ht="11.25" customHeight="1">
      <c r="K30" s="306" t="s">
        <v>337</v>
      </c>
      <c r="L30" s="310" t="s">
        <v>342</v>
      </c>
      <c r="M30" s="315">
        <v>13409000</v>
      </c>
      <c r="N30" s="311" t="s">
        <v>350</v>
      </c>
    </row>
    <row r="31" spans="4:15" ht="11.25" customHeight="1">
      <c r="K31" s="307">
        <v>12.1</v>
      </c>
      <c r="L31" s="310" t="s">
        <v>343</v>
      </c>
      <c r="M31" s="315">
        <v>5830000</v>
      </c>
      <c r="N31" s="311" t="s">
        <v>347</v>
      </c>
    </row>
    <row r="32" spans="4:15" ht="11.25" customHeight="1">
      <c r="K32" s="307">
        <v>12.1</v>
      </c>
      <c r="L32" s="310" t="s">
        <v>344</v>
      </c>
      <c r="M32" s="315">
        <v>18810000</v>
      </c>
      <c r="N32" s="311" t="s">
        <v>351</v>
      </c>
    </row>
    <row r="33" spans="11:14" ht="25.5" customHeight="1" thickBot="1">
      <c r="K33" s="1461" t="s">
        <v>355</v>
      </c>
      <c r="L33" s="1462"/>
      <c r="M33" s="1462"/>
      <c r="N33" s="1463"/>
    </row>
  </sheetData>
  <mergeCells count="1">
    <mergeCell ref="K33:N33"/>
  </mergeCells>
  <phoneticPr fontId="4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41"/>
  <sheetViews>
    <sheetView workbookViewId="0">
      <selection activeCell="I18" sqref="I18"/>
    </sheetView>
  </sheetViews>
  <sheetFormatPr defaultColWidth="8.8984375" defaultRowHeight="14.4"/>
  <cols>
    <col min="1" max="1" width="2.8984375" style="2" customWidth="1"/>
    <col min="2" max="2" width="4" style="2" customWidth="1"/>
    <col min="3" max="3" width="11.19921875" style="2" customWidth="1"/>
    <col min="4" max="5" width="15.296875" style="87" customWidth="1"/>
    <col min="6" max="6" width="15.296875" style="2" customWidth="1"/>
    <col min="7" max="7" width="22.296875" style="2" customWidth="1"/>
    <col min="8" max="8" width="8.8984375" style="2"/>
    <col min="9" max="9" width="17.796875" style="2" customWidth="1"/>
    <col min="10" max="16384" width="8.8984375" style="2"/>
  </cols>
  <sheetData>
    <row r="1" spans="1:7" ht="70.5" customHeight="1">
      <c r="A1"/>
    </row>
    <row r="2" spans="1:7" ht="21.75" customHeight="1">
      <c r="A2" s="104" t="s">
        <v>703</v>
      </c>
    </row>
    <row r="3" spans="1:7" ht="48" customHeight="1">
      <c r="A3" s="104"/>
    </row>
    <row r="4" spans="1:7" s="102" customFormat="1" ht="16.5" customHeight="1">
      <c r="A4" s="660" t="s">
        <v>705</v>
      </c>
      <c r="B4" s="114"/>
      <c r="C4" s="114"/>
      <c r="D4" s="114"/>
      <c r="E4" s="114"/>
      <c r="F4" s="114"/>
    </row>
    <row r="5" spans="1:7" s="102" customFormat="1" ht="16.5" customHeight="1">
      <c r="A5" s="1464" t="s">
        <v>165</v>
      </c>
      <c r="B5" s="1464"/>
      <c r="C5" s="1464"/>
      <c r="D5" s="1464"/>
      <c r="E5" s="1464"/>
      <c r="F5" s="1464"/>
    </row>
    <row r="6" spans="1:7" s="102" customFormat="1" ht="16.5" customHeight="1">
      <c r="A6" s="115" t="s">
        <v>168</v>
      </c>
      <c r="B6" s="115"/>
      <c r="C6" s="115"/>
      <c r="D6" s="115"/>
      <c r="E6" s="115"/>
      <c r="F6" s="115"/>
    </row>
    <row r="7" spans="1:7" s="102" customFormat="1" ht="16.5" customHeight="1">
      <c r="A7" s="115" t="s">
        <v>704</v>
      </c>
      <c r="B7" s="115"/>
      <c r="C7" s="115"/>
      <c r="D7" s="115"/>
      <c r="E7" s="115"/>
      <c r="F7" s="115"/>
    </row>
    <row r="8" spans="1:7" s="102" customFormat="1" ht="16.5" customHeight="1">
      <c r="A8" s="1464" t="s">
        <v>706</v>
      </c>
      <c r="B8" s="1464"/>
      <c r="C8" s="1464"/>
      <c r="D8" s="1464"/>
      <c r="E8" s="1464"/>
      <c r="F8" s="1464"/>
    </row>
    <row r="9" spans="1:7" ht="2.25" customHeight="1" thickBot="1">
      <c r="A9" s="104"/>
    </row>
    <row r="10" spans="1:7" ht="33.75" customHeight="1">
      <c r="A10" s="117" t="s">
        <v>154</v>
      </c>
      <c r="B10" s="1470" t="s">
        <v>129</v>
      </c>
      <c r="C10" s="1470"/>
      <c r="D10" s="108" t="s">
        <v>370</v>
      </c>
      <c r="E10" s="108" t="s">
        <v>371</v>
      </c>
      <c r="F10" s="116" t="s">
        <v>166</v>
      </c>
      <c r="G10" s="109" t="s">
        <v>130</v>
      </c>
    </row>
    <row r="11" spans="1:7" s="103" customFormat="1" ht="16.5" customHeight="1">
      <c r="A11" s="118">
        <v>1</v>
      </c>
      <c r="B11" s="1467" t="s">
        <v>158</v>
      </c>
      <c r="C11" s="1467"/>
      <c r="D11" s="110">
        <v>29211600</v>
      </c>
      <c r="E11" s="110">
        <v>32782590</v>
      </c>
      <c r="F11" s="111">
        <f>E11-D11</f>
        <v>3570990</v>
      </c>
      <c r="G11" s="121" t="s">
        <v>353</v>
      </c>
    </row>
    <row r="12" spans="1:7" s="103" customFormat="1" ht="16.5" customHeight="1">
      <c r="A12" s="118">
        <v>2</v>
      </c>
      <c r="B12" s="1467" t="s">
        <v>133</v>
      </c>
      <c r="C12" s="1467"/>
      <c r="D12" s="110">
        <v>22967370</v>
      </c>
      <c r="E12" s="110">
        <f>'부과내역(부과총괄표)'!E7:G7</f>
        <v>24724350</v>
      </c>
      <c r="F12" s="111">
        <f>E12-D12</f>
        <v>1756980</v>
      </c>
      <c r="G12" s="121" t="s">
        <v>372</v>
      </c>
    </row>
    <row r="13" spans="1:7" s="103" customFormat="1" ht="16.5" customHeight="1">
      <c r="A13" s="118">
        <v>3</v>
      </c>
      <c r="B13" s="1467" t="s">
        <v>159</v>
      </c>
      <c r="C13" s="1467"/>
      <c r="D13" s="110">
        <v>22308520</v>
      </c>
      <c r="E13" s="110">
        <f>'부과내역(부과총괄표)'!E8:G8</f>
        <v>22873570</v>
      </c>
      <c r="F13" s="111">
        <f>E13-D13</f>
        <v>565050</v>
      </c>
      <c r="G13" s="121" t="s">
        <v>372</v>
      </c>
    </row>
    <row r="14" spans="1:7" s="103" customFormat="1" ht="16.5" customHeight="1">
      <c r="A14" s="118">
        <v>4</v>
      </c>
      <c r="B14" s="1467" t="s">
        <v>160</v>
      </c>
      <c r="C14" s="1467"/>
      <c r="D14" s="110">
        <v>730000</v>
      </c>
      <c r="E14" s="110">
        <f>'부과내역(부과총괄표)'!E9:G9</f>
        <v>980000</v>
      </c>
      <c r="F14" s="111">
        <f>E14-D14</f>
        <v>250000</v>
      </c>
      <c r="G14" s="121" t="s">
        <v>291</v>
      </c>
    </row>
    <row r="15" spans="1:7" s="103" customFormat="1" ht="16.5" customHeight="1">
      <c r="A15" s="118">
        <v>5</v>
      </c>
      <c r="B15" s="1467" t="s">
        <v>134</v>
      </c>
      <c r="C15" s="1467"/>
      <c r="D15" s="110">
        <v>1978000</v>
      </c>
      <c r="E15" s="110">
        <f>'부과내역(부과총괄표)'!E10:G10</f>
        <v>1978000</v>
      </c>
      <c r="F15" s="111">
        <f t="shared" ref="F15:F16" si="0">E15-D15</f>
        <v>0</v>
      </c>
      <c r="G15" s="121"/>
    </row>
    <row r="16" spans="1:7" s="103" customFormat="1" ht="16.5" customHeight="1">
      <c r="A16" s="293">
        <v>6</v>
      </c>
      <c r="B16" s="1471" t="s">
        <v>324</v>
      </c>
      <c r="C16" s="1472"/>
      <c r="D16" s="110">
        <v>0</v>
      </c>
      <c r="E16" s="110">
        <f>'부과내역(부과총괄표)'!E11:G11</f>
        <v>660000</v>
      </c>
      <c r="F16" s="111">
        <f t="shared" si="0"/>
        <v>660000</v>
      </c>
      <c r="G16" s="121" t="s">
        <v>325</v>
      </c>
    </row>
    <row r="17" spans="1:9" s="103" customFormat="1" ht="16.5" customHeight="1">
      <c r="A17" s="293">
        <v>7</v>
      </c>
      <c r="B17" s="1467" t="s">
        <v>137</v>
      </c>
      <c r="C17" s="1467"/>
      <c r="D17" s="110">
        <v>1544500</v>
      </c>
      <c r="E17" s="110">
        <f>'부과내역(부과총괄표)'!E12:G12</f>
        <v>6914800</v>
      </c>
      <c r="F17" s="111">
        <f t="shared" ref="F17:F38" si="1">E17-D17</f>
        <v>5370300</v>
      </c>
      <c r="G17" s="121" t="s">
        <v>167</v>
      </c>
    </row>
    <row r="18" spans="1:9" s="103" customFormat="1" ht="16.5" customHeight="1">
      <c r="A18" s="293">
        <v>8</v>
      </c>
      <c r="B18" s="1467" t="s">
        <v>161</v>
      </c>
      <c r="C18" s="1467"/>
      <c r="D18" s="110">
        <v>12584750</v>
      </c>
      <c r="E18" s="110">
        <f>'부과내역(부과총괄표)'!E13:G13</f>
        <v>16638150</v>
      </c>
      <c r="F18" s="111">
        <f t="shared" si="1"/>
        <v>4053400</v>
      </c>
      <c r="G18" s="121" t="s">
        <v>373</v>
      </c>
    </row>
    <row r="19" spans="1:9" s="103" customFormat="1" ht="16.5" customHeight="1">
      <c r="A19" s="293">
        <v>9</v>
      </c>
      <c r="B19" s="1467" t="s">
        <v>135</v>
      </c>
      <c r="C19" s="1467"/>
      <c r="D19" s="110">
        <v>1207840</v>
      </c>
      <c r="E19" s="110">
        <f>'부과내역(부과총괄표)'!E14:G14</f>
        <v>1207840</v>
      </c>
      <c r="F19" s="111">
        <f t="shared" si="1"/>
        <v>0</v>
      </c>
      <c r="G19" s="121"/>
    </row>
    <row r="20" spans="1:9" s="103" customFormat="1" ht="16.5" customHeight="1">
      <c r="A20" s="293">
        <v>10</v>
      </c>
      <c r="B20" s="1467" t="s">
        <v>136</v>
      </c>
      <c r="C20" s="1467"/>
      <c r="D20" s="110">
        <v>1319540</v>
      </c>
      <c r="E20" s="110">
        <f>'부과내역(부과총괄표)'!E15:G15</f>
        <v>1571800</v>
      </c>
      <c r="F20" s="111">
        <f t="shared" si="1"/>
        <v>252260</v>
      </c>
      <c r="G20" s="121" t="s">
        <v>292</v>
      </c>
    </row>
    <row r="21" spans="1:9" s="103" customFormat="1" ht="16.5" customHeight="1">
      <c r="A21" s="293">
        <v>11</v>
      </c>
      <c r="B21" s="1467" t="s">
        <v>138</v>
      </c>
      <c r="C21" s="1467"/>
      <c r="D21" s="110">
        <v>1954000</v>
      </c>
      <c r="E21" s="110">
        <f>'부과내역(부과총괄표)'!E16:G16</f>
        <v>2542580</v>
      </c>
      <c r="F21" s="111">
        <f t="shared" si="1"/>
        <v>588580</v>
      </c>
      <c r="G21" s="121" t="s">
        <v>162</v>
      </c>
    </row>
    <row r="22" spans="1:9" s="103" customFormat="1" ht="16.5" customHeight="1">
      <c r="A22" s="293">
        <v>12</v>
      </c>
      <c r="B22" s="1467" t="s">
        <v>139</v>
      </c>
      <c r="C22" s="1467"/>
      <c r="D22" s="110">
        <v>1600000</v>
      </c>
      <c r="E22" s="110">
        <f>'부과내역(부과총괄표)'!E17:G17</f>
        <v>1500000</v>
      </c>
      <c r="F22" s="111">
        <f t="shared" si="1"/>
        <v>-100000</v>
      </c>
      <c r="G22" s="121" t="s">
        <v>143</v>
      </c>
    </row>
    <row r="23" spans="1:9" s="103" customFormat="1" ht="16.5" customHeight="1">
      <c r="A23" s="293">
        <v>13</v>
      </c>
      <c r="B23" s="1467" t="s">
        <v>140</v>
      </c>
      <c r="C23" s="1467"/>
      <c r="D23" s="110">
        <v>700000</v>
      </c>
      <c r="E23" s="110">
        <f>'부과내역(부과총괄표)'!E18:G18</f>
        <v>350000</v>
      </c>
      <c r="F23" s="111">
        <f t="shared" si="1"/>
        <v>-350000</v>
      </c>
      <c r="G23" s="121" t="s">
        <v>326</v>
      </c>
    </row>
    <row r="24" spans="1:9" s="103" customFormat="1" ht="16.5" customHeight="1">
      <c r="A24" s="1468">
        <v>14</v>
      </c>
      <c r="B24" s="1469" t="s">
        <v>163</v>
      </c>
      <c r="C24" s="112" t="s">
        <v>94</v>
      </c>
      <c r="D24" s="110">
        <v>11692410</v>
      </c>
      <c r="E24" s="110">
        <f>'부과내역(부과총괄표)'!E19:G19</f>
        <v>16799030</v>
      </c>
      <c r="F24" s="111">
        <f t="shared" si="1"/>
        <v>5106620</v>
      </c>
      <c r="G24" s="122"/>
    </row>
    <row r="25" spans="1:9" s="103" customFormat="1" ht="16.5" customHeight="1">
      <c r="A25" s="1468"/>
      <c r="B25" s="1469"/>
      <c r="C25" s="112" t="s">
        <v>93</v>
      </c>
      <c r="D25" s="110">
        <v>7799550</v>
      </c>
      <c r="E25" s="110">
        <f>'부과내역(부과총괄표)'!E20:G20</f>
        <v>13609170</v>
      </c>
      <c r="F25" s="111">
        <f t="shared" si="1"/>
        <v>5809620</v>
      </c>
      <c r="G25" s="121"/>
    </row>
    <row r="26" spans="1:9" s="103" customFormat="1" ht="16.5" customHeight="1">
      <c r="A26" s="1468"/>
      <c r="B26" s="1469"/>
      <c r="C26" s="112" t="s">
        <v>103</v>
      </c>
      <c r="D26" s="110">
        <v>2083070</v>
      </c>
      <c r="E26" s="110">
        <f>'부과내역(부과총괄표)'!E21:G21</f>
        <v>3925320</v>
      </c>
      <c r="F26" s="111">
        <f t="shared" si="1"/>
        <v>1842250</v>
      </c>
      <c r="G26" s="121"/>
    </row>
    <row r="27" spans="1:9" s="103" customFormat="1" ht="16.5" customHeight="1">
      <c r="A27" s="1468"/>
      <c r="B27" s="1469"/>
      <c r="C27" s="112" t="s">
        <v>102</v>
      </c>
      <c r="D27" s="111">
        <v>-157900</v>
      </c>
      <c r="E27" s="110">
        <f>'부과내역(부과총괄표)'!E22:G22</f>
        <v>-194710</v>
      </c>
      <c r="F27" s="111">
        <f t="shared" si="1"/>
        <v>-36810</v>
      </c>
      <c r="G27" s="123"/>
      <c r="I27" s="119" t="s">
        <v>146</v>
      </c>
    </row>
    <row r="28" spans="1:9" s="103" customFormat="1" ht="16.5" customHeight="1">
      <c r="A28" s="1468"/>
      <c r="B28" s="1469"/>
      <c r="C28" s="112" t="s">
        <v>131</v>
      </c>
      <c r="D28" s="110">
        <f>SUM(D24:D26)+D27</f>
        <v>21417130</v>
      </c>
      <c r="E28" s="110">
        <f>'부과내역(부과총괄표)'!E23:G23</f>
        <v>34138810</v>
      </c>
      <c r="F28" s="111">
        <f t="shared" si="1"/>
        <v>12721680</v>
      </c>
      <c r="G28" s="121" t="s">
        <v>144</v>
      </c>
    </row>
    <row r="29" spans="1:9" s="103" customFormat="1" ht="16.5" customHeight="1">
      <c r="A29" s="1468">
        <v>15</v>
      </c>
      <c r="B29" s="1469" t="s">
        <v>132</v>
      </c>
      <c r="C29" s="112" t="s">
        <v>141</v>
      </c>
      <c r="D29" s="110">
        <v>71016370</v>
      </c>
      <c r="E29" s="110">
        <f>'부과내역(부과총괄표)'!E24:G24</f>
        <v>27656590</v>
      </c>
      <c r="F29" s="111">
        <f t="shared" si="1"/>
        <v>-43359780</v>
      </c>
      <c r="G29" s="121"/>
    </row>
    <row r="30" spans="1:9" s="103" customFormat="1" ht="16.5" customHeight="1">
      <c r="A30" s="1468"/>
      <c r="B30" s="1469"/>
      <c r="C30" s="112" t="s">
        <v>91</v>
      </c>
      <c r="D30" s="110">
        <v>1574760</v>
      </c>
      <c r="E30" s="110">
        <f>'부과내역(부과총괄표)'!E25:G25</f>
        <v>1010460</v>
      </c>
      <c r="F30" s="111">
        <f t="shared" si="1"/>
        <v>-564300</v>
      </c>
      <c r="G30" s="121"/>
    </row>
    <row r="31" spans="1:9" s="103" customFormat="1" ht="16.5" customHeight="1">
      <c r="A31" s="1468"/>
      <c r="B31" s="1469"/>
      <c r="C31" s="112" t="s">
        <v>90</v>
      </c>
      <c r="D31" s="110">
        <v>2739780</v>
      </c>
      <c r="E31" s="110">
        <f>'부과내역(부과총괄표)'!E26:G26</f>
        <v>2814620</v>
      </c>
      <c r="F31" s="111">
        <f t="shared" si="1"/>
        <v>74840</v>
      </c>
      <c r="G31" s="121"/>
    </row>
    <row r="32" spans="1:9" s="103" customFormat="1" ht="16.5" customHeight="1">
      <c r="A32" s="1468"/>
      <c r="B32" s="1469"/>
      <c r="C32" s="112" t="s">
        <v>89</v>
      </c>
      <c r="D32" s="110">
        <v>15690830</v>
      </c>
      <c r="E32" s="110">
        <f>'부과내역(부과총괄표)'!E27:G27</f>
        <v>-2816000</v>
      </c>
      <c r="F32" s="111">
        <f t="shared" si="1"/>
        <v>-18506830</v>
      </c>
      <c r="G32" s="121"/>
    </row>
    <row r="33" spans="1:9" s="103" customFormat="1" ht="20.25" customHeight="1">
      <c r="A33" s="1468"/>
      <c r="B33" s="1469"/>
      <c r="C33" s="347" t="s">
        <v>114</v>
      </c>
      <c r="D33" s="110">
        <v>830290</v>
      </c>
      <c r="E33" s="110">
        <f>'부과내역(부과총괄표)'!E28:G28</f>
        <v>256800</v>
      </c>
      <c r="F33" s="111">
        <f t="shared" si="1"/>
        <v>-573490</v>
      </c>
      <c r="G33" s="121"/>
    </row>
    <row r="34" spans="1:9" s="103" customFormat="1" ht="16.5" customHeight="1">
      <c r="A34" s="1468"/>
      <c r="B34" s="1469"/>
      <c r="C34" s="112" t="s">
        <v>115</v>
      </c>
      <c r="D34" s="110">
        <v>515030</v>
      </c>
      <c r="E34" s="110">
        <f>'부과내역(부과총괄표)'!E29:G29</f>
        <v>388580</v>
      </c>
      <c r="F34" s="111">
        <f t="shared" si="1"/>
        <v>-126450</v>
      </c>
      <c r="G34" s="121"/>
    </row>
    <row r="35" spans="1:9" s="103" customFormat="1" ht="16.5" customHeight="1">
      <c r="A35" s="1468"/>
      <c r="B35" s="1469"/>
      <c r="C35" s="112" t="s">
        <v>164</v>
      </c>
      <c r="D35" s="110">
        <v>310000</v>
      </c>
      <c r="E35" s="110">
        <f>'부과내역(부과총괄표)'!E30:G30</f>
        <v>255000</v>
      </c>
      <c r="F35" s="111">
        <f t="shared" si="1"/>
        <v>-55000</v>
      </c>
      <c r="G35" s="121"/>
    </row>
    <row r="36" spans="1:9" s="103" customFormat="1" ht="16.5" customHeight="1">
      <c r="A36" s="1468"/>
      <c r="B36" s="1469"/>
      <c r="C36" s="112" t="s">
        <v>142</v>
      </c>
      <c r="D36" s="110">
        <v>3537500</v>
      </c>
      <c r="E36" s="110">
        <f>'부과내역(부과총괄표)'!E31:G31</f>
        <v>3510000</v>
      </c>
      <c r="F36" s="111">
        <f t="shared" si="1"/>
        <v>-27500</v>
      </c>
      <c r="G36" s="121"/>
    </row>
    <row r="37" spans="1:9" s="103" customFormat="1" ht="16.5" customHeight="1">
      <c r="A37" s="1468"/>
      <c r="B37" s="1469"/>
      <c r="C37" s="112" t="s">
        <v>131</v>
      </c>
      <c r="D37" s="110">
        <f>SUM(D29:D36)</f>
        <v>96214560</v>
      </c>
      <c r="E37" s="110">
        <f>'부과내역(부과총괄표)'!E32:G32</f>
        <v>32175670</v>
      </c>
      <c r="F37" s="111">
        <f t="shared" si="1"/>
        <v>-64038890</v>
      </c>
      <c r="G37" s="121" t="s">
        <v>144</v>
      </c>
    </row>
    <row r="38" spans="1:9" ht="18.75" customHeight="1" thickBot="1">
      <c r="A38" s="1465" t="s">
        <v>100</v>
      </c>
      <c r="B38" s="1466"/>
      <c r="C38" s="1466"/>
      <c r="D38" s="113">
        <f>SUM(D11:D23)+D28+D37</f>
        <v>215737810</v>
      </c>
      <c r="E38" s="276">
        <f>'부과내역(부과총괄표)'!E33:G33</f>
        <v>178604610</v>
      </c>
      <c r="F38" s="120">
        <f t="shared" si="1"/>
        <v>-37133200</v>
      </c>
      <c r="G38" s="124"/>
      <c r="I38" s="294">
        <f>SUM(E11:E23)+E28+E37</f>
        <v>181038160</v>
      </c>
    </row>
    <row r="39" spans="1:9" ht="16.2">
      <c r="A39" s="1464" t="s">
        <v>169</v>
      </c>
      <c r="B39" s="1464"/>
      <c r="C39" s="1464"/>
      <c r="D39" s="1464"/>
      <c r="E39" s="1464"/>
      <c r="F39" s="1464"/>
    </row>
    <row r="40" spans="1:9" ht="16.2">
      <c r="A40" s="1464" t="s">
        <v>170</v>
      </c>
      <c r="B40" s="1464"/>
      <c r="C40" s="1464"/>
      <c r="D40" s="1464"/>
      <c r="E40" s="1464"/>
      <c r="F40" s="1464"/>
    </row>
    <row r="41" spans="1:9">
      <c r="A41" s="2" t="s">
        <v>374</v>
      </c>
    </row>
  </sheetData>
  <mergeCells count="23">
    <mergeCell ref="A5:F5"/>
    <mergeCell ref="B13:C13"/>
    <mergeCell ref="B14:C14"/>
    <mergeCell ref="A29:A37"/>
    <mergeCell ref="B17:C17"/>
    <mergeCell ref="B15:C15"/>
    <mergeCell ref="B18:C18"/>
    <mergeCell ref="B19:C19"/>
    <mergeCell ref="A8:F8"/>
    <mergeCell ref="B10:C10"/>
    <mergeCell ref="B11:C11"/>
    <mergeCell ref="B12:C12"/>
    <mergeCell ref="B16:C16"/>
    <mergeCell ref="A39:F39"/>
    <mergeCell ref="A40:F40"/>
    <mergeCell ref="A38:C38"/>
    <mergeCell ref="B20:C20"/>
    <mergeCell ref="B21:C21"/>
    <mergeCell ref="B22:C22"/>
    <mergeCell ref="B23:C23"/>
    <mergeCell ref="A24:A28"/>
    <mergeCell ref="B24:B28"/>
    <mergeCell ref="B29:B37"/>
  </mergeCells>
  <phoneticPr fontId="4" type="noConversion"/>
  <pageMargins left="0.23622047244094491" right="0.23622047244094491" top="0.39" bottom="0.24" header="0.31496062992125984" footer="0.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0.59999389629810485"/>
  </sheetPr>
  <dimension ref="A1:Q63"/>
  <sheetViews>
    <sheetView topLeftCell="A7" workbookViewId="0">
      <selection activeCell="E25" sqref="E25"/>
    </sheetView>
  </sheetViews>
  <sheetFormatPr defaultRowHeight="14.4"/>
  <cols>
    <col min="1" max="1" width="4.59765625" customWidth="1"/>
    <col min="2" max="2" width="8.796875" customWidth="1"/>
    <col min="3" max="3" width="2.8984375" customWidth="1"/>
    <col min="4" max="4" width="12.3984375" customWidth="1"/>
    <col min="5" max="5" width="17.69921875" customWidth="1"/>
    <col min="6" max="6" width="9" customWidth="1"/>
    <col min="7" max="7" width="10.796875" customWidth="1"/>
    <col min="8" max="8" width="7.296875" customWidth="1"/>
    <col min="9" max="9" width="4" customWidth="1"/>
    <col min="13" max="13" width="11.8984375" customWidth="1"/>
    <col min="16" max="16" width="16.796875" customWidth="1"/>
  </cols>
  <sheetData>
    <row r="1" spans="1:8">
      <c r="A1" s="731"/>
      <c r="B1" s="731"/>
    </row>
    <row r="2" spans="1:8">
      <c r="A2" s="731"/>
      <c r="B2" s="731"/>
    </row>
    <row r="3" spans="1:8" ht="15.6">
      <c r="A3" s="734"/>
      <c r="B3" s="734"/>
      <c r="C3" s="734"/>
      <c r="D3" s="734"/>
      <c r="E3" s="734"/>
      <c r="F3" s="734"/>
      <c r="G3" s="734"/>
      <c r="H3" s="734"/>
    </row>
    <row r="6" spans="1:8" s="1" customFormat="1" ht="30.6">
      <c r="A6" s="737" t="s">
        <v>725</v>
      </c>
      <c r="B6" s="738"/>
      <c r="C6" s="738"/>
      <c r="D6" s="738"/>
      <c r="E6" s="738"/>
      <c r="F6" s="20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7.399999999999999">
      <c r="E11" s="28" t="s">
        <v>51</v>
      </c>
      <c r="F11" s="28"/>
      <c r="G11" s="28"/>
    </row>
    <row r="12" spans="1:8" s="2" customFormat="1" ht="6" customHeight="1">
      <c r="E12" s="7"/>
      <c r="F12" s="7"/>
      <c r="G12" s="7"/>
    </row>
    <row r="13" spans="1:8" s="2" customFormat="1" ht="15.6">
      <c r="B13" s="3" t="s">
        <v>2</v>
      </c>
      <c r="C13" s="4" t="s">
        <v>736</v>
      </c>
      <c r="D13" s="4"/>
    </row>
    <row r="14" spans="1:8" s="2" customFormat="1" ht="6" customHeight="1"/>
    <row r="15" spans="1:8" s="2" customFormat="1" ht="15.6">
      <c r="B15" s="3" t="s">
        <v>2</v>
      </c>
      <c r="C15" s="12" t="s">
        <v>737</v>
      </c>
      <c r="D15" s="12"/>
      <c r="E15" s="13"/>
      <c r="F15" s="13"/>
      <c r="G15" s="13"/>
    </row>
    <row r="16" spans="1:8" s="2" customFormat="1" ht="14.25" customHeight="1">
      <c r="C16" s="733" t="s">
        <v>74</v>
      </c>
      <c r="D16" s="733"/>
      <c r="E16" s="733"/>
      <c r="F16" s="733"/>
      <c r="G16" s="733"/>
      <c r="H16" s="733"/>
    </row>
    <row r="17" spans="1:15" s="2" customFormat="1" ht="18" customHeight="1">
      <c r="B17" s="3" t="s">
        <v>2</v>
      </c>
      <c r="C17" s="4" t="s">
        <v>20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31</v>
      </c>
      <c r="D19" s="23" t="s">
        <v>32</v>
      </c>
      <c r="E19" s="2" t="s">
        <v>21</v>
      </c>
      <c r="F19" s="26" t="s">
        <v>52</v>
      </c>
      <c r="G19" s="22" t="s">
        <v>71</v>
      </c>
      <c r="O19" s="22"/>
    </row>
    <row r="20" spans="1:15" s="2" customFormat="1" ht="7.5" customHeight="1">
      <c r="C20" s="21"/>
      <c r="D20" s="23"/>
      <c r="F20" s="26"/>
      <c r="M20" s="22"/>
    </row>
    <row r="21" spans="1:15" s="2" customFormat="1" ht="16.5" customHeight="1">
      <c r="C21" s="2" t="s">
        <v>31</v>
      </c>
      <c r="D21" s="23" t="s">
        <v>61</v>
      </c>
      <c r="E21" s="2" t="s">
        <v>22</v>
      </c>
      <c r="F21" s="27" t="s">
        <v>54</v>
      </c>
      <c r="G21" s="22" t="s">
        <v>47</v>
      </c>
      <c r="M21" s="22"/>
    </row>
    <row r="22" spans="1:15" s="2" customFormat="1" ht="6.75" customHeight="1">
      <c r="C22" s="21"/>
      <c r="F22" s="26"/>
      <c r="M22" s="22"/>
    </row>
    <row r="23" spans="1:15" s="2" customFormat="1" ht="16.5" customHeight="1">
      <c r="C23" s="2" t="s">
        <v>31</v>
      </c>
      <c r="D23" s="23" t="s">
        <v>33</v>
      </c>
      <c r="E23" s="2" t="s">
        <v>23</v>
      </c>
      <c r="F23" s="26" t="s">
        <v>52</v>
      </c>
      <c r="G23" s="69" t="s">
        <v>110</v>
      </c>
      <c r="M23" s="22"/>
    </row>
    <row r="24" spans="1:15" s="2" customFormat="1" ht="8.25" customHeight="1">
      <c r="C24" s="21"/>
      <c r="F24" s="26"/>
      <c r="M24" s="22"/>
    </row>
    <row r="25" spans="1:15" s="2" customFormat="1" ht="16.5" customHeight="1">
      <c r="C25" s="2" t="s">
        <v>31</v>
      </c>
      <c r="D25" s="23" t="s">
        <v>35</v>
      </c>
      <c r="E25" s="2" t="s">
        <v>25</v>
      </c>
      <c r="F25" s="26" t="s">
        <v>52</v>
      </c>
      <c r="G25" s="22" t="s">
        <v>48</v>
      </c>
      <c r="K25" s="23"/>
      <c r="L25" s="23"/>
      <c r="M25" s="22"/>
    </row>
    <row r="26" spans="1:15" s="2" customFormat="1" ht="6" customHeight="1">
      <c r="C26" s="21"/>
      <c r="F26" s="26"/>
      <c r="L26" s="21"/>
      <c r="M26" s="22"/>
    </row>
    <row r="27" spans="1:15" s="2" customFormat="1" ht="16.5" customHeight="1">
      <c r="C27" s="2" t="s">
        <v>31</v>
      </c>
      <c r="D27" s="23" t="s">
        <v>34</v>
      </c>
      <c r="E27" s="2" t="s">
        <v>24</v>
      </c>
      <c r="F27" s="26" t="s">
        <v>53</v>
      </c>
      <c r="G27" s="22" t="s">
        <v>49</v>
      </c>
      <c r="L27" s="21"/>
    </row>
    <row r="28" spans="1:15" s="2" customFormat="1" ht="6.75" customHeight="1">
      <c r="C28" s="21"/>
      <c r="F28" s="26"/>
      <c r="K28" s="19" t="s">
        <v>27</v>
      </c>
      <c r="L28" s="19"/>
      <c r="M28" s="22"/>
    </row>
    <row r="29" spans="1:15" s="2" customFormat="1" ht="16.5" customHeight="1">
      <c r="C29" s="2" t="s">
        <v>31</v>
      </c>
      <c r="D29" s="23" t="s">
        <v>36</v>
      </c>
      <c r="E29" s="2" t="s">
        <v>26</v>
      </c>
      <c r="F29" s="26" t="s">
        <v>53</v>
      </c>
      <c r="G29" s="22" t="s">
        <v>50</v>
      </c>
    </row>
    <row r="30" spans="1:15" s="2" customFormat="1" ht="8.25" customHeight="1">
      <c r="C30" s="21"/>
      <c r="F30" s="23"/>
    </row>
    <row r="31" spans="1:15" s="2" customFormat="1" ht="6.75" customHeight="1">
      <c r="B31" s="742"/>
      <c r="C31" s="742"/>
      <c r="D31" s="742"/>
      <c r="E31" s="742"/>
      <c r="F31" s="742"/>
      <c r="G31" s="742"/>
    </row>
    <row r="32" spans="1:15" s="2" customFormat="1" ht="13.5" customHeight="1">
      <c r="A32" s="740" t="s">
        <v>73</v>
      </c>
      <c r="B32" s="740"/>
      <c r="C32" s="740"/>
      <c r="D32" s="740"/>
      <c r="E32" s="740"/>
      <c r="F32" s="740"/>
      <c r="G32" s="740"/>
      <c r="H32" s="740"/>
    </row>
    <row r="33" spans="1:17" s="2" customFormat="1" ht="18" customHeight="1">
      <c r="A33" s="740" t="s">
        <v>19</v>
      </c>
      <c r="B33" s="740"/>
      <c r="C33" s="740"/>
      <c r="D33" s="740"/>
      <c r="E33" s="740"/>
      <c r="F33" s="740"/>
      <c r="G33" s="740"/>
      <c r="H33" s="740"/>
    </row>
    <row r="34" spans="1:17" s="2" customFormat="1" ht="18" customHeight="1">
      <c r="A34" s="741" t="s">
        <v>59</v>
      </c>
      <c r="B34" s="741"/>
      <c r="C34" s="741"/>
      <c r="D34" s="741"/>
      <c r="E34" s="741"/>
      <c r="F34" s="741"/>
      <c r="G34" s="741"/>
      <c r="H34" s="741"/>
    </row>
    <row r="35" spans="1:17" s="2" customFormat="1" ht="18" customHeight="1">
      <c r="A35" s="56" t="s">
        <v>68</v>
      </c>
      <c r="B35" s="40"/>
      <c r="C35" s="40"/>
      <c r="D35" s="40"/>
      <c r="E35" s="40"/>
      <c r="F35" s="40"/>
      <c r="G35" s="40"/>
      <c r="H35" s="40"/>
    </row>
    <row r="36" spans="1:17" s="2" customFormat="1" ht="18" customHeight="1">
      <c r="A36" s="14"/>
      <c r="B36" s="56" t="s">
        <v>69</v>
      </c>
      <c r="C36" s="40"/>
      <c r="D36" s="40"/>
      <c r="E36" s="40"/>
      <c r="F36" s="40"/>
      <c r="G36" s="40"/>
      <c r="H36" s="14"/>
      <c r="M36" s="5"/>
      <c r="N36" s="5"/>
      <c r="O36" s="5"/>
      <c r="P36" s="5"/>
      <c r="Q36" s="5"/>
    </row>
    <row r="37" spans="1:17" s="2" customFormat="1" ht="18" customHeight="1">
      <c r="A37" s="14"/>
      <c r="B37" s="59" t="s">
        <v>75</v>
      </c>
      <c r="C37" s="40"/>
      <c r="D37" s="40"/>
      <c r="E37" s="40"/>
      <c r="F37" s="40"/>
      <c r="G37" s="40"/>
      <c r="H37" s="14"/>
      <c r="K37" s="5"/>
      <c r="L37" s="5"/>
      <c r="M37" s="5"/>
      <c r="N37" s="5"/>
      <c r="O37" s="5"/>
      <c r="P37" s="5"/>
      <c r="Q37" s="5"/>
    </row>
    <row r="38" spans="1:17" s="2" customFormat="1" ht="18" customHeight="1">
      <c r="A38" s="14"/>
      <c r="B38" s="40" t="s">
        <v>28</v>
      </c>
      <c r="C38" s="40"/>
      <c r="D38" s="40"/>
      <c r="E38" s="40"/>
      <c r="F38" s="40"/>
      <c r="G38" s="40"/>
      <c r="H38" s="14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4"/>
      <c r="B39" s="56" t="s">
        <v>70</v>
      </c>
      <c r="C39" s="40"/>
      <c r="D39" s="40"/>
      <c r="E39" s="40"/>
      <c r="F39" s="40"/>
      <c r="G39" s="40"/>
      <c r="H39" s="14"/>
      <c r="K39" s="5"/>
      <c r="L39" s="5"/>
      <c r="M39" s="5"/>
      <c r="N39" s="5"/>
      <c r="O39" s="5"/>
      <c r="P39" s="5"/>
      <c r="Q39" s="5"/>
    </row>
    <row r="40" spans="1:17" s="2" customFormat="1" ht="23.25" customHeight="1">
      <c r="A40" s="11" t="s">
        <v>29</v>
      </c>
      <c r="B40" s="740" t="s">
        <v>30</v>
      </c>
      <c r="C40" s="740"/>
      <c r="D40" s="740"/>
      <c r="E40" s="740"/>
      <c r="F40" s="740"/>
      <c r="G40" s="740"/>
      <c r="H40" s="11"/>
      <c r="K40" s="5"/>
      <c r="L40" s="5"/>
    </row>
    <row r="41" spans="1:17" s="2" customFormat="1" ht="23.25" customHeight="1">
      <c r="A41" s="11"/>
      <c r="B41" s="70"/>
      <c r="C41" s="70"/>
      <c r="D41" s="70"/>
      <c r="E41" s="70"/>
      <c r="F41" s="70"/>
      <c r="G41" s="70"/>
      <c r="H41" s="11"/>
      <c r="K41" s="5"/>
      <c r="L41" s="5"/>
    </row>
    <row r="42" spans="1:17" s="5" customFormat="1" ht="19.5" customHeight="1">
      <c r="A42" s="739" t="s">
        <v>327</v>
      </c>
      <c r="B42" s="739"/>
      <c r="C42" s="739"/>
      <c r="D42" s="739"/>
      <c r="E42" s="739"/>
      <c r="F42" s="739"/>
      <c r="G42" s="739"/>
      <c r="H42" s="739"/>
      <c r="I42" s="739"/>
      <c r="K42" s="2"/>
      <c r="L42" s="2"/>
      <c r="M42" s="2"/>
      <c r="N42" s="2"/>
      <c r="O42" s="2"/>
      <c r="P42" s="2"/>
      <c r="Q42" s="2"/>
    </row>
    <row r="43" spans="1:17" s="5" customFormat="1" ht="18.75" customHeight="1">
      <c r="A43" s="739" t="s">
        <v>60</v>
      </c>
      <c r="B43" s="739"/>
      <c r="C43" s="739"/>
      <c r="D43" s="739"/>
      <c r="E43" s="739"/>
      <c r="F43" s="739"/>
      <c r="G43" s="739"/>
      <c r="H43" s="739"/>
      <c r="I43" s="739"/>
      <c r="K43" s="2"/>
      <c r="L43" s="2"/>
      <c r="M43" s="2"/>
      <c r="N43" s="2"/>
      <c r="O43" s="2"/>
      <c r="P43" s="2"/>
      <c r="Q43" s="2"/>
    </row>
    <row r="44" spans="1:17" s="5" customFormat="1" ht="19.5" customHeight="1">
      <c r="A44" s="736" t="s">
        <v>293</v>
      </c>
      <c r="B44" s="736"/>
      <c r="C44" s="736"/>
      <c r="D44" s="736"/>
      <c r="E44" s="736"/>
      <c r="F44" s="736"/>
      <c r="G44" s="736"/>
      <c r="H44" s="736"/>
      <c r="I44" s="736"/>
      <c r="K44"/>
      <c r="L44"/>
      <c r="M44"/>
      <c r="N44"/>
      <c r="O44"/>
      <c r="P44"/>
      <c r="Q44"/>
    </row>
    <row r="45" spans="1:17" s="5" customFormat="1" ht="19.5" customHeight="1">
      <c r="A45" s="735" t="s">
        <v>111</v>
      </c>
      <c r="B45" s="735"/>
      <c r="C45" s="735"/>
      <c r="D45" s="735"/>
      <c r="E45" s="735"/>
      <c r="F45" s="735"/>
      <c r="G45" s="735"/>
      <c r="H45" s="735"/>
      <c r="I45" s="735"/>
      <c r="K45"/>
      <c r="L45"/>
      <c r="M45"/>
      <c r="N45"/>
      <c r="O45"/>
      <c r="P45"/>
      <c r="Q45"/>
    </row>
    <row r="46" spans="1:17" s="5" customFormat="1" ht="22.5" customHeight="1">
      <c r="A46" s="732" t="s">
        <v>354</v>
      </c>
      <c r="B46" s="732"/>
      <c r="C46" s="732"/>
      <c r="D46" s="732"/>
      <c r="E46" s="732"/>
      <c r="F46" s="732"/>
      <c r="G46" s="732"/>
      <c r="H46" s="732"/>
      <c r="I46" s="732"/>
      <c r="K46"/>
      <c r="L46"/>
      <c r="M46"/>
      <c r="N46"/>
      <c r="O46"/>
      <c r="P46"/>
      <c r="Q46"/>
    </row>
    <row r="47" spans="1:17" s="2" customFormat="1">
      <c r="K47"/>
      <c r="L47"/>
      <c r="M47"/>
      <c r="N47"/>
      <c r="O47"/>
      <c r="P47"/>
      <c r="Q47"/>
    </row>
    <row r="48" spans="1:17" s="2" customFormat="1">
      <c r="K48"/>
      <c r="L48"/>
      <c r="M48"/>
      <c r="N48"/>
      <c r="O48"/>
      <c r="P48"/>
      <c r="Q48"/>
    </row>
    <row r="51" spans="1:5">
      <c r="E51" t="s">
        <v>27</v>
      </c>
    </row>
    <row r="52" spans="1:5">
      <c r="A52" s="2"/>
      <c r="B52" s="2"/>
    </row>
    <row r="53" spans="1:5">
      <c r="A53" s="2"/>
      <c r="B53" s="2"/>
    </row>
    <row r="54" spans="1:5">
      <c r="A54" s="2"/>
      <c r="B54" s="2"/>
    </row>
    <row r="55" spans="1:5">
      <c r="A55" s="21"/>
      <c r="B55" s="2"/>
    </row>
    <row r="56" spans="1:5">
      <c r="A56" s="2"/>
      <c r="B56" s="2"/>
    </row>
    <row r="57" spans="1:5">
      <c r="A57" s="2"/>
      <c r="B57" s="2"/>
    </row>
    <row r="58" spans="1:5">
      <c r="A58" s="21"/>
      <c r="B58" s="2"/>
    </row>
    <row r="59" spans="1:5">
      <c r="A59" s="2"/>
      <c r="B59" s="2"/>
    </row>
    <row r="60" spans="1:5">
      <c r="A60" s="2"/>
      <c r="B60" s="2"/>
      <c r="C60" s="2"/>
      <c r="D60" s="2"/>
    </row>
    <row r="61" spans="1:5">
      <c r="A61" s="21"/>
      <c r="B61" s="2"/>
      <c r="C61" s="2"/>
      <c r="D61" s="2"/>
    </row>
    <row r="62" spans="1:5">
      <c r="A62" s="2"/>
      <c r="B62" s="2"/>
      <c r="C62" s="2"/>
      <c r="D62" s="2"/>
    </row>
    <row r="63" spans="1:5">
      <c r="A63" s="2"/>
      <c r="B63" s="2"/>
      <c r="C63" s="2"/>
      <c r="D63" s="2"/>
    </row>
  </sheetData>
  <mergeCells count="14">
    <mergeCell ref="A1:B2"/>
    <mergeCell ref="A46:I46"/>
    <mergeCell ref="C16:H16"/>
    <mergeCell ref="A3:H3"/>
    <mergeCell ref="A45:I45"/>
    <mergeCell ref="A44:I44"/>
    <mergeCell ref="A6:E6"/>
    <mergeCell ref="A42:I42"/>
    <mergeCell ref="A33:H33"/>
    <mergeCell ref="A43:I43"/>
    <mergeCell ref="B40:G40"/>
    <mergeCell ref="A34:H34"/>
    <mergeCell ref="B31:G31"/>
    <mergeCell ref="A32:H32"/>
  </mergeCells>
  <phoneticPr fontId="4" type="noConversion"/>
  <printOptions horizontalCentered="1"/>
  <pageMargins left="0.39370078740157483" right="0.47244094488188981" top="0.82677165354330717" bottom="0.5511811023622047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E125"/>
  <sheetViews>
    <sheetView zoomScaleSheetLayoutView="85" workbookViewId="0">
      <selection activeCell="B3" sqref="B3:O3"/>
    </sheetView>
  </sheetViews>
  <sheetFormatPr defaultColWidth="9.796875" defaultRowHeight="14.4"/>
  <cols>
    <col min="1" max="1" width="9.3984375" style="571" customWidth="1"/>
    <col min="2" max="2" width="4.796875" style="571" customWidth="1"/>
    <col min="3" max="3" width="3.796875" style="571" customWidth="1"/>
    <col min="4" max="16" width="6.19921875" style="571" customWidth="1"/>
    <col min="17" max="18" width="9.796875" style="571"/>
    <col min="19" max="31" width="9.796875" style="583"/>
    <col min="32" max="16384" width="9.796875" style="571"/>
  </cols>
  <sheetData>
    <row r="1" spans="1:31" ht="15.75" customHeight="1"/>
    <row r="2" spans="1:31" s="8" customFormat="1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0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</row>
    <row r="3" spans="1:31" s="8" customFormat="1" ht="22.5" customHeight="1">
      <c r="A3" s="17"/>
      <c r="B3" s="744" t="s">
        <v>86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10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</row>
    <row r="4" spans="1:31" s="8" customFormat="1" ht="5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0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</row>
    <row r="5" spans="1:31" s="8" customFormat="1" ht="17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0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</row>
    <row r="6" spans="1:31" s="8" customFormat="1" ht="17.25" customHeight="1">
      <c r="B6" s="743" t="s">
        <v>10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</row>
    <row r="7" spans="1:31" s="8" customFormat="1" ht="17.25" customHeight="1">
      <c r="B7" s="743" t="s">
        <v>72</v>
      </c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</row>
    <row r="8" spans="1:31" s="8" customFormat="1" ht="21" customHeight="1">
      <c r="B8" s="743" t="s">
        <v>444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</row>
    <row r="9" spans="1:31" s="8" customFormat="1" ht="17.25" customHeight="1">
      <c r="B9" s="596" t="s">
        <v>445</v>
      </c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</row>
    <row r="10" spans="1:31" s="8" customFormat="1" ht="17.25" customHeight="1">
      <c r="B10" s="572"/>
      <c r="C10" s="572" t="s">
        <v>446</v>
      </c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</row>
    <row r="11" spans="1:31" s="8" customFormat="1" ht="17.25" customHeight="1">
      <c r="B11" s="596" t="s">
        <v>447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</row>
    <row r="12" spans="1:31" s="8" customFormat="1" ht="17.25" customHeight="1">
      <c r="B12" s="572"/>
      <c r="C12" s="590" t="s">
        <v>448</v>
      </c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</row>
    <row r="13" spans="1:31" s="8" customFormat="1" ht="17.25" customHeight="1" thickBot="1">
      <c r="B13" s="743" t="s">
        <v>62</v>
      </c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08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</row>
    <row r="14" spans="1:31" s="8" customFormat="1" ht="15.75" customHeight="1">
      <c r="B14" s="745" t="s">
        <v>4</v>
      </c>
      <c r="C14" s="746"/>
      <c r="D14" s="37">
        <v>1</v>
      </c>
      <c r="E14" s="37">
        <v>2</v>
      </c>
      <c r="F14" s="37">
        <v>3</v>
      </c>
      <c r="G14" s="37">
        <v>4</v>
      </c>
      <c r="H14" s="37">
        <v>5</v>
      </c>
      <c r="I14" s="37">
        <v>6</v>
      </c>
      <c r="J14" s="37">
        <v>7</v>
      </c>
      <c r="K14" s="37">
        <v>8</v>
      </c>
      <c r="L14" s="37">
        <v>9</v>
      </c>
      <c r="M14" s="37">
        <v>10</v>
      </c>
      <c r="N14" s="37">
        <v>11</v>
      </c>
      <c r="O14" s="707">
        <v>12</v>
      </c>
      <c r="P14" s="710" t="s">
        <v>726</v>
      </c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</row>
    <row r="15" spans="1:31" s="8" customFormat="1" ht="17.25" customHeight="1" thickBot="1">
      <c r="B15" s="747" t="s">
        <v>9</v>
      </c>
      <c r="C15" s="748"/>
      <c r="D15" s="38">
        <v>2</v>
      </c>
      <c r="E15" s="38">
        <v>2</v>
      </c>
      <c r="F15" s="38">
        <v>5</v>
      </c>
      <c r="G15" s="38">
        <v>5</v>
      </c>
      <c r="H15" s="38">
        <v>10</v>
      </c>
      <c r="I15" s="38">
        <v>10</v>
      </c>
      <c r="J15" s="38">
        <v>10</v>
      </c>
      <c r="K15" s="38">
        <v>10</v>
      </c>
      <c r="L15" s="38">
        <v>15</v>
      </c>
      <c r="M15" s="38">
        <v>15</v>
      </c>
      <c r="N15" s="38">
        <v>15</v>
      </c>
      <c r="O15" s="38">
        <v>15</v>
      </c>
      <c r="P15" s="709">
        <v>20</v>
      </c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</row>
    <row r="16" spans="1:31" s="8" customFormat="1" ht="9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</row>
    <row r="17" spans="1:31" s="8" customFormat="1" ht="17.25" customHeight="1">
      <c r="B17" s="743" t="s">
        <v>478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</row>
    <row r="18" spans="1:31" s="8" customFormat="1" ht="17.25" customHeight="1">
      <c r="B18" s="743" t="s">
        <v>11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</row>
    <row r="19" spans="1:31" s="8" customFormat="1" ht="21" customHeight="1">
      <c r="B19" s="743" t="s">
        <v>449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</row>
    <row r="20" spans="1:31" s="8" customFormat="1" ht="17.25" customHeight="1">
      <c r="B20" s="743" t="s">
        <v>479</v>
      </c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</row>
    <row r="21" spans="1:31" s="8" customFormat="1" ht="13.5" customHeight="1">
      <c r="B21" s="743" t="s">
        <v>450</v>
      </c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</row>
    <row r="22" spans="1:31" s="8" customFormat="1" ht="13.5" customHeight="1">
      <c r="B22" s="743" t="s">
        <v>451</v>
      </c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</row>
    <row r="23" spans="1:31" s="591" customFormat="1" ht="13.5" customHeight="1">
      <c r="A23" s="8"/>
      <c r="B23" s="743" t="s">
        <v>452</v>
      </c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</row>
    <row r="24" spans="1:31" s="8" customFormat="1" ht="13.5" customHeight="1">
      <c r="B24" s="749" t="s">
        <v>453</v>
      </c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</row>
    <row r="25" spans="1:31" s="8" customFormat="1" ht="6.75" customHeight="1"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</row>
    <row r="26" spans="1:31" s="8" customFormat="1" ht="17.25" customHeight="1">
      <c r="A26" s="17" t="s">
        <v>432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0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</row>
    <row r="27" spans="1:31" s="8" customFormat="1" ht="17.25" customHeight="1">
      <c r="B27" s="60" t="s">
        <v>79</v>
      </c>
      <c r="C27" s="713" t="s">
        <v>391</v>
      </c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</row>
    <row r="28" spans="1:31" s="8" customFormat="1" ht="17.25" customHeight="1">
      <c r="B28" s="61" t="s">
        <v>78</v>
      </c>
      <c r="C28" s="711" t="s">
        <v>77</v>
      </c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</row>
    <row r="29" spans="1:31" s="8" customFormat="1" ht="17.25" customHeight="1">
      <c r="B29" s="574"/>
      <c r="C29" s="754" t="s">
        <v>480</v>
      </c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7"/>
    </row>
    <row r="30" spans="1:31" s="8" customFormat="1" ht="17.25" customHeight="1">
      <c r="B30" s="574"/>
      <c r="C30" s="749" t="s">
        <v>454</v>
      </c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  <c r="AE30" s="617"/>
    </row>
    <row r="31" spans="1:31" s="8" customFormat="1" ht="17.25" customHeight="1">
      <c r="B31" s="54"/>
      <c r="C31" s="592" t="s">
        <v>481</v>
      </c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S31" s="617"/>
      <c r="T31" s="617"/>
      <c r="U31" s="617"/>
      <c r="V31" s="617"/>
      <c r="W31" s="617"/>
      <c r="X31" s="617"/>
      <c r="Y31" s="617"/>
      <c r="Z31" s="617"/>
      <c r="AA31" s="617"/>
      <c r="AB31" s="617"/>
      <c r="AC31" s="617"/>
      <c r="AD31" s="617"/>
      <c r="AE31" s="617"/>
    </row>
    <row r="32" spans="1:31" s="8" customFormat="1" ht="17.25" customHeight="1">
      <c r="B32" s="54"/>
      <c r="C32" s="592" t="s">
        <v>455</v>
      </c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</row>
    <row r="33" spans="1:31" s="8" customFormat="1" ht="17.25" customHeight="1">
      <c r="B33" s="61" t="s">
        <v>482</v>
      </c>
      <c r="C33" s="569" t="s">
        <v>456</v>
      </c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</row>
    <row r="34" spans="1:31" s="8" customFormat="1" ht="17.25" customHeight="1">
      <c r="B34" s="574"/>
      <c r="C34" s="749" t="s">
        <v>457</v>
      </c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</row>
    <row r="35" spans="1:31" s="8" customFormat="1" ht="6.75" customHeight="1">
      <c r="B35" s="574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</row>
    <row r="36" spans="1:31" s="8" customFormat="1" ht="17.25" customHeight="1">
      <c r="A36" s="753" t="s">
        <v>458</v>
      </c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</row>
    <row r="37" spans="1:31" ht="17.25" customHeight="1">
      <c r="A37" s="8"/>
      <c r="B37" s="60" t="s">
        <v>80</v>
      </c>
      <c r="C37" t="s">
        <v>390</v>
      </c>
      <c r="D37" s="18"/>
      <c r="E37" s="18"/>
      <c r="K37" s="299"/>
      <c r="L37" s="299"/>
      <c r="M37" s="299"/>
      <c r="N37" s="299"/>
      <c r="O37" s="6"/>
      <c r="P37" s="8"/>
    </row>
    <row r="38" spans="1:31" ht="17.25" customHeight="1">
      <c r="A38" s="8"/>
      <c r="B38" s="54" t="s">
        <v>63</v>
      </c>
      <c r="C38" s="58" t="s">
        <v>389</v>
      </c>
      <c r="D38" s="10"/>
      <c r="E38" s="10"/>
      <c r="F38" s="10"/>
      <c r="G38" s="10"/>
      <c r="H38" s="10"/>
      <c r="I38" s="10"/>
      <c r="P38" s="8"/>
    </row>
    <row r="39" spans="1:31" s="8" customFormat="1" ht="17.25" customHeight="1">
      <c r="B39" s="60" t="s">
        <v>80</v>
      </c>
      <c r="C39" s="593" t="s">
        <v>459</v>
      </c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7"/>
    </row>
    <row r="40" spans="1:31" s="8" customFormat="1" ht="17.25" customHeight="1">
      <c r="C40" s="595" t="s">
        <v>460</v>
      </c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</row>
    <row r="41" spans="1:31" s="8" customFormat="1" ht="17.25" customHeight="1">
      <c r="B41" s="743" t="s">
        <v>461</v>
      </c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</row>
    <row r="42" spans="1:31" s="8" customFormat="1" ht="23.25" customHeight="1">
      <c r="C42" s="751" t="s">
        <v>121</v>
      </c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  <c r="AD42" s="617"/>
      <c r="AE42" s="617"/>
    </row>
    <row r="43" spans="1:31" s="8" customFormat="1" ht="6.75" customHeight="1">
      <c r="B43" s="48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</row>
    <row r="44" spans="1:31" ht="19.2">
      <c r="A44" s="597" t="s">
        <v>119</v>
      </c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P44" s="8"/>
    </row>
    <row r="45" spans="1:31" ht="17.25" customHeight="1">
      <c r="A45" s="8"/>
      <c r="B45" s="60" t="s">
        <v>79</v>
      </c>
      <c r="C45" s="755" t="s">
        <v>462</v>
      </c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8"/>
    </row>
    <row r="46" spans="1:31" ht="17.25" customHeight="1">
      <c r="A46" s="8"/>
      <c r="B46" s="60" t="s">
        <v>80</v>
      </c>
      <c r="C46" s="598" t="s">
        <v>463</v>
      </c>
      <c r="D46" s="18"/>
      <c r="E46" s="18"/>
      <c r="K46" s="299"/>
      <c r="L46" s="299"/>
      <c r="M46" s="299"/>
      <c r="N46" s="299"/>
      <c r="O46" s="6"/>
      <c r="P46" s="8"/>
    </row>
    <row r="47" spans="1:31" ht="17.25" customHeight="1">
      <c r="A47" s="8"/>
      <c r="B47" s="60" t="s">
        <v>80</v>
      </c>
      <c r="C47" s="598" t="s">
        <v>464</v>
      </c>
      <c r="D47" s="18"/>
      <c r="E47" s="18"/>
      <c r="K47" s="299"/>
      <c r="L47" s="299"/>
      <c r="M47" s="299"/>
      <c r="N47" s="299"/>
      <c r="O47" s="6"/>
      <c r="P47" s="8"/>
    </row>
    <row r="48" spans="1:31" ht="17.25" customHeight="1">
      <c r="A48" s="8"/>
      <c r="B48" s="60" t="s">
        <v>80</v>
      </c>
      <c r="C48" s="756" t="s">
        <v>483</v>
      </c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8"/>
    </row>
    <row r="49" spans="1:31" ht="17.25" customHeight="1">
      <c r="A49" s="8"/>
      <c r="B49" s="60" t="s">
        <v>80</v>
      </c>
      <c r="C49" s="757" t="s">
        <v>465</v>
      </c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8"/>
    </row>
    <row r="50" spans="1:31" ht="17.25" customHeight="1">
      <c r="A50" s="8"/>
      <c r="C50" s="757" t="s">
        <v>466</v>
      </c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8"/>
    </row>
    <row r="51" spans="1:31" customFormat="1" ht="9" customHeight="1">
      <c r="S51" s="619"/>
      <c r="T51" s="619"/>
      <c r="U51" s="619"/>
      <c r="V51" s="619"/>
      <c r="W51" s="619"/>
      <c r="X51" s="619"/>
      <c r="Y51" s="619"/>
      <c r="Z51" s="619"/>
      <c r="AA51" s="619"/>
      <c r="AB51" s="619"/>
      <c r="AC51" s="619"/>
      <c r="AD51" s="619"/>
      <c r="AE51" s="619"/>
    </row>
    <row r="52" spans="1:31" s="8" customFormat="1" ht="17.25" customHeight="1">
      <c r="A52" s="758" t="s">
        <v>484</v>
      </c>
      <c r="B52" s="758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7"/>
    </row>
    <row r="53" spans="1:31" s="8" customFormat="1" ht="20.25" customHeight="1">
      <c r="B53" s="743" t="s">
        <v>485</v>
      </c>
      <c r="C53" s="743"/>
      <c r="D53" s="743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Q53" s="599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</row>
    <row r="54" spans="1:31" s="8" customFormat="1" ht="17.25" customHeight="1">
      <c r="B54" s="743" t="s">
        <v>486</v>
      </c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S54" s="617"/>
      <c r="T54" s="617"/>
      <c r="U54" s="617"/>
      <c r="V54" s="617"/>
      <c r="W54" s="617"/>
      <c r="X54" s="617"/>
      <c r="Y54" s="617"/>
      <c r="Z54" s="617"/>
      <c r="AA54" s="617"/>
      <c r="AB54" s="617"/>
      <c r="AC54" s="617"/>
      <c r="AD54" s="617"/>
      <c r="AE54" s="617"/>
    </row>
    <row r="55" spans="1:31" ht="20.25" customHeight="1">
      <c r="A55" s="8"/>
      <c r="B55" s="743" t="s">
        <v>467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8"/>
    </row>
    <row r="56" spans="1:31" s="8" customFormat="1" ht="20.25" customHeight="1">
      <c r="B56" s="743" t="s">
        <v>487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S56" s="617"/>
      <c r="T56" s="617"/>
      <c r="U56" s="617"/>
      <c r="V56" s="617"/>
      <c r="W56" s="617"/>
      <c r="X56" s="617"/>
      <c r="Y56" s="617"/>
      <c r="Z56" s="617"/>
      <c r="AA56" s="617"/>
      <c r="AB56" s="617"/>
      <c r="AC56" s="617"/>
      <c r="AD56" s="617"/>
      <c r="AE56" s="617"/>
    </row>
    <row r="57" spans="1:31" s="8" customFormat="1" ht="12" customHeight="1">
      <c r="B57" s="759"/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7"/>
    </row>
    <row r="58" spans="1:31" s="16" customFormat="1" ht="20.25" customHeight="1">
      <c r="A58" s="758" t="s">
        <v>488</v>
      </c>
      <c r="B58" s="758"/>
      <c r="C58" s="758"/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8"/>
      <c r="S58" s="620"/>
      <c r="T58" s="620"/>
      <c r="U58" s="620"/>
      <c r="V58" s="620"/>
      <c r="W58" s="620"/>
      <c r="X58" s="620"/>
      <c r="Y58" s="620"/>
      <c r="Z58" s="620"/>
      <c r="AA58" s="620"/>
      <c r="AB58" s="620"/>
      <c r="AC58" s="620"/>
      <c r="AD58" s="620"/>
      <c r="AE58" s="620"/>
    </row>
    <row r="59" spans="1:31" s="16" customFormat="1" ht="20.25" customHeight="1">
      <c r="A59" s="8"/>
      <c r="B59" s="596" t="s">
        <v>76</v>
      </c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8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</row>
    <row r="60" spans="1:31" s="16" customFormat="1" ht="11.25" customHeight="1">
      <c r="A60" s="8"/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8"/>
      <c r="S60" s="620"/>
      <c r="T60" s="620"/>
      <c r="U60" s="620"/>
      <c r="V60" s="620"/>
      <c r="W60" s="620"/>
      <c r="X60" s="620"/>
      <c r="Y60" s="620"/>
      <c r="Z60" s="620"/>
      <c r="AA60" s="620"/>
      <c r="AB60" s="620"/>
      <c r="AC60" s="620"/>
      <c r="AD60" s="620"/>
      <c r="AE60" s="620"/>
    </row>
    <row r="61" spans="1:31" s="16" customFormat="1" ht="20.25" customHeight="1">
      <c r="A61" s="758" t="s">
        <v>82</v>
      </c>
      <c r="B61" s="758"/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8"/>
      <c r="S61" s="620"/>
      <c r="T61" s="620"/>
      <c r="U61" s="620"/>
      <c r="V61" s="620"/>
      <c r="W61" s="620"/>
      <c r="X61" s="620"/>
      <c r="Y61" s="620"/>
      <c r="Z61" s="620"/>
      <c r="AA61" s="620"/>
      <c r="AB61" s="620"/>
      <c r="AC61" s="620"/>
      <c r="AD61" s="620"/>
      <c r="AE61" s="620"/>
    </row>
    <row r="62" spans="1:31" s="16" customFormat="1" ht="15.75" customHeight="1">
      <c r="A62" s="8"/>
      <c r="B62" s="743" t="s">
        <v>489</v>
      </c>
      <c r="C62" s="743"/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743"/>
      <c r="O62" s="743"/>
      <c r="P62" s="8"/>
      <c r="S62" s="620"/>
      <c r="T62" s="620"/>
      <c r="U62" s="620"/>
      <c r="V62" s="620"/>
      <c r="W62" s="620"/>
      <c r="X62" s="620"/>
      <c r="Y62" s="620"/>
      <c r="Z62" s="620"/>
      <c r="AA62" s="620"/>
      <c r="AB62" s="620"/>
      <c r="AC62" s="620"/>
      <c r="AD62" s="620"/>
      <c r="AE62" s="620"/>
    </row>
    <row r="63" spans="1:31" s="299" customFormat="1" ht="15.75" customHeight="1">
      <c r="A63" s="8"/>
      <c r="B63" s="743" t="s">
        <v>468</v>
      </c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8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31" s="299" customFormat="1" ht="15.75" customHeight="1">
      <c r="A64" s="8"/>
      <c r="B64" s="749" t="s">
        <v>490</v>
      </c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8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31" ht="19.2">
      <c r="A65" s="758" t="s">
        <v>81</v>
      </c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8"/>
    </row>
    <row r="66" spans="1:31" ht="15" customHeight="1">
      <c r="A66" s="8"/>
      <c r="B66" s="760" t="s">
        <v>17</v>
      </c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8"/>
    </row>
    <row r="67" spans="1:31" ht="15" customHeight="1">
      <c r="A67" s="8"/>
      <c r="B67" s="743" t="s">
        <v>18</v>
      </c>
      <c r="C67" s="743"/>
      <c r="D67" s="743"/>
      <c r="E67" s="743"/>
      <c r="F67" s="743"/>
      <c r="G67" s="743"/>
      <c r="H67" s="743"/>
      <c r="I67" s="743"/>
      <c r="J67" s="743"/>
      <c r="K67" s="743"/>
      <c r="L67" s="743"/>
      <c r="M67" s="743"/>
      <c r="N67" s="743"/>
      <c r="O67" s="743"/>
      <c r="P67" s="8"/>
    </row>
    <row r="68" spans="1:31" ht="19.2">
      <c r="A68" s="758" t="s">
        <v>83</v>
      </c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8"/>
    </row>
    <row r="69" spans="1:31" ht="14.25" customHeight="1">
      <c r="A69" s="8"/>
      <c r="B69" s="743" t="s">
        <v>491</v>
      </c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8"/>
    </row>
    <row r="70" spans="1:31" ht="14.25" customHeight="1">
      <c r="A70" s="8"/>
      <c r="B70" s="760" t="s">
        <v>469</v>
      </c>
      <c r="C70" s="760"/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60"/>
      <c r="P70" s="8"/>
    </row>
    <row r="71" spans="1:31" ht="14.25" customHeight="1">
      <c r="A71" s="8"/>
      <c r="B71" s="743" t="s">
        <v>470</v>
      </c>
      <c r="C71" s="743"/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8"/>
    </row>
    <row r="72" spans="1:31" ht="14.25" customHeight="1">
      <c r="A72" s="8"/>
      <c r="B72" s="572" t="s">
        <v>108</v>
      </c>
      <c r="C72" s="761" t="s">
        <v>109</v>
      </c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1"/>
      <c r="P72" s="8"/>
    </row>
    <row r="73" spans="1:31" ht="19.2">
      <c r="A73" s="712" t="s">
        <v>431</v>
      </c>
      <c r="B73" s="712"/>
      <c r="C73" s="712"/>
      <c r="D73" s="712"/>
      <c r="E73" s="712"/>
      <c r="F73" s="712"/>
      <c r="G73" s="712"/>
      <c r="H73" s="712"/>
      <c r="I73" s="712"/>
      <c r="J73" s="712"/>
      <c r="K73" s="712"/>
      <c r="L73" s="712"/>
      <c r="M73" s="712"/>
      <c r="N73" s="712"/>
      <c r="O73" s="712"/>
      <c r="P73" s="8"/>
    </row>
    <row r="74" spans="1:31" ht="18" customHeight="1">
      <c r="A74" s="8"/>
      <c r="B74" s="760" t="s">
        <v>64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8"/>
    </row>
    <row r="75" spans="1:31" ht="18" customHeight="1">
      <c r="A75" s="8"/>
      <c r="B75" s="743" t="s">
        <v>65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8"/>
    </row>
    <row r="76" spans="1:31" s="8" customFormat="1" ht="17.25" customHeight="1">
      <c r="A76" s="17" t="s">
        <v>471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7"/>
    </row>
    <row r="77" spans="1:31" s="8" customFormat="1" ht="17.25" customHeight="1">
      <c r="B77" s="18"/>
      <c r="C77" s="600" t="s">
        <v>14</v>
      </c>
      <c r="D77" s="600"/>
      <c r="E77" s="600"/>
      <c r="F77" s="600"/>
      <c r="G77" s="600"/>
      <c r="H77" s="600"/>
      <c r="I77" s="600"/>
      <c r="J77" s="600" t="s">
        <v>492</v>
      </c>
      <c r="K77" s="600"/>
      <c r="L77" s="600"/>
      <c r="M77" s="600"/>
      <c r="N77" s="600"/>
      <c r="O77" s="600"/>
      <c r="P77" s="601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  <c r="AC77" s="617"/>
      <c r="AD77" s="617"/>
      <c r="AE77" s="617"/>
    </row>
    <row r="78" spans="1:31" s="8" customFormat="1" ht="17.25" customHeight="1">
      <c r="B78" s="18"/>
      <c r="C78" s="600" t="s">
        <v>15</v>
      </c>
      <c r="D78" s="600"/>
      <c r="E78" s="600"/>
      <c r="F78" s="600"/>
      <c r="G78" s="600"/>
      <c r="H78" s="600"/>
      <c r="I78" s="600"/>
      <c r="J78" s="600" t="s">
        <v>16</v>
      </c>
      <c r="K78" s="600"/>
      <c r="L78" s="600"/>
      <c r="M78" s="600"/>
      <c r="N78" s="600"/>
      <c r="O78" s="600"/>
      <c r="P78" s="601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7"/>
    </row>
    <row r="79" spans="1:31" s="8" customFormat="1" ht="17.25" customHeight="1">
      <c r="B79" s="18"/>
      <c r="C79" s="602" t="s">
        <v>85</v>
      </c>
      <c r="D79" s="600"/>
      <c r="E79" s="600"/>
      <c r="F79" s="600"/>
      <c r="G79" s="600"/>
      <c r="H79" s="600"/>
      <c r="I79" s="600"/>
      <c r="J79" s="600"/>
      <c r="K79" s="600"/>
      <c r="L79" s="600"/>
      <c r="M79" s="600"/>
      <c r="N79" s="600"/>
      <c r="O79" s="600"/>
      <c r="P79" s="601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7"/>
    </row>
    <row r="80" spans="1:31" ht="19.2">
      <c r="A80" s="15" t="s">
        <v>472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8"/>
    </row>
    <row r="81" spans="1:16" ht="14.4" customHeight="1">
      <c r="A81" s="8"/>
      <c r="B81" s="39" t="s">
        <v>66</v>
      </c>
      <c r="C81" s="783" t="s">
        <v>727</v>
      </c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</row>
    <row r="82" spans="1:16" ht="15.6">
      <c r="A82" s="8"/>
      <c r="B82" s="603"/>
      <c r="C82" s="604" t="s">
        <v>473</v>
      </c>
      <c r="D82" s="605"/>
      <c r="E82" s="605"/>
      <c r="F82" s="606"/>
      <c r="G82" s="606"/>
      <c r="H82" s="606"/>
      <c r="I82" s="606"/>
      <c r="J82" s="606"/>
      <c r="K82" s="607"/>
      <c r="L82" s="607"/>
      <c r="M82" s="607"/>
      <c r="N82" s="607"/>
      <c r="O82" s="608"/>
      <c r="P82" s="8"/>
    </row>
    <row r="83" spans="1:16" ht="15.6">
      <c r="A83" s="8"/>
      <c r="B83" s="609" t="s">
        <v>0</v>
      </c>
      <c r="C83" s="604" t="s">
        <v>474</v>
      </c>
      <c r="D83" s="605"/>
      <c r="E83" s="605"/>
      <c r="F83" s="606"/>
      <c r="G83" s="606"/>
      <c r="H83" s="606"/>
      <c r="I83" s="606"/>
      <c r="J83" s="606"/>
      <c r="K83" s="607"/>
      <c r="L83" s="607"/>
      <c r="M83" s="607"/>
      <c r="N83" s="607"/>
      <c r="O83" s="608"/>
      <c r="P83" s="8"/>
    </row>
    <row r="84" spans="1:16">
      <c r="A84" s="8"/>
      <c r="B84" s="606"/>
      <c r="C84" s="610" t="s">
        <v>475</v>
      </c>
      <c r="D84" s="611"/>
      <c r="E84" s="611"/>
      <c r="F84" s="611"/>
      <c r="G84" s="611"/>
      <c r="H84" s="611"/>
      <c r="I84" s="611"/>
      <c r="J84" s="606"/>
      <c r="K84" s="606"/>
      <c r="L84" s="606"/>
      <c r="M84" s="606"/>
      <c r="N84" s="606"/>
      <c r="O84" s="606"/>
      <c r="P84" s="8"/>
    </row>
    <row r="85" spans="1:16" ht="19.2">
      <c r="A85" s="15" t="s">
        <v>476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6" ht="19.2" customHeight="1">
      <c r="A86" s="15"/>
      <c r="B86" s="55" t="s">
        <v>66</v>
      </c>
      <c r="C86" s="784" t="s">
        <v>375</v>
      </c>
      <c r="D86" s="784"/>
      <c r="E86" s="784"/>
      <c r="F86" s="784"/>
      <c r="G86" s="784"/>
      <c r="H86" s="784"/>
      <c r="I86" s="784"/>
      <c r="J86" s="784"/>
      <c r="K86" s="784"/>
      <c r="L86" s="784"/>
      <c r="M86" s="784"/>
      <c r="N86" s="784"/>
      <c r="O86" s="784"/>
      <c r="P86" s="784"/>
    </row>
    <row r="87" spans="1:16" ht="19.2">
      <c r="A87" s="15" t="s">
        <v>477</v>
      </c>
      <c r="K87" s="279"/>
      <c r="L87" s="279"/>
      <c r="M87" s="279"/>
      <c r="N87" s="279"/>
    </row>
    <row r="88" spans="1:16">
      <c r="B88" s="742"/>
      <c r="C88" s="742"/>
      <c r="D88" s="742"/>
      <c r="E88" s="742"/>
      <c r="F88" s="742"/>
      <c r="K88" s="773" t="s">
        <v>702</v>
      </c>
      <c r="L88" s="773"/>
      <c r="M88" s="773"/>
      <c r="N88" s="773"/>
    </row>
    <row r="89" spans="1:16">
      <c r="B89" s="742"/>
      <c r="C89" s="742"/>
      <c r="D89" s="742"/>
      <c r="E89" s="742"/>
      <c r="F89" s="742"/>
    </row>
    <row r="106" spans="1:31" ht="19.2">
      <c r="A106" s="15"/>
      <c r="K106" s="279"/>
      <c r="L106" s="279"/>
      <c r="M106" s="279"/>
      <c r="N106" s="279"/>
    </row>
    <row r="107" spans="1:31" ht="19.2">
      <c r="A107" s="15" t="s">
        <v>494</v>
      </c>
      <c r="K107" s="279"/>
      <c r="L107" s="279"/>
      <c r="M107" s="279"/>
      <c r="N107" s="279"/>
    </row>
    <row r="108" spans="1:31">
      <c r="B108" s="571" t="s">
        <v>495</v>
      </c>
    </row>
    <row r="109" spans="1:31">
      <c r="B109" s="757" t="s">
        <v>497</v>
      </c>
      <c r="C109" s="757"/>
      <c r="D109" s="757"/>
      <c r="E109" s="757"/>
      <c r="F109" s="757"/>
      <c r="G109" s="757"/>
      <c r="H109" s="757"/>
      <c r="I109" s="757"/>
      <c r="J109" s="757"/>
      <c r="K109" s="757"/>
      <c r="L109" s="757"/>
      <c r="M109" s="757"/>
      <c r="N109" s="757"/>
      <c r="O109" s="757"/>
    </row>
    <row r="110" spans="1:31">
      <c r="B110" s="757" t="s">
        <v>496</v>
      </c>
      <c r="C110" s="757"/>
      <c r="D110" s="757"/>
      <c r="E110" s="757"/>
      <c r="F110" s="757"/>
      <c r="G110" s="757"/>
      <c r="H110" s="757"/>
      <c r="I110" s="757"/>
      <c r="J110" s="757"/>
      <c r="K110" s="757"/>
      <c r="L110" s="757"/>
      <c r="M110" s="757"/>
      <c r="N110" s="757"/>
      <c r="O110" s="757"/>
    </row>
    <row r="111" spans="1:31">
      <c r="A111" s="500" t="s">
        <v>524</v>
      </c>
    </row>
    <row r="112" spans="1:31" s="105" customFormat="1" ht="16.8" customHeight="1">
      <c r="A112" s="569"/>
      <c r="B112" s="772" t="s">
        <v>525</v>
      </c>
      <c r="C112" s="772"/>
      <c r="D112" s="772"/>
      <c r="E112" s="772"/>
      <c r="F112" s="772"/>
      <c r="G112" s="772"/>
      <c r="H112" s="772"/>
      <c r="I112" s="772"/>
      <c r="J112" s="772"/>
      <c r="K112" s="772"/>
      <c r="L112" s="772"/>
      <c r="M112" s="772"/>
      <c r="N112" s="772"/>
      <c r="O112" s="772"/>
      <c r="P112" s="772"/>
      <c r="Q112" s="772"/>
      <c r="R112" s="569"/>
      <c r="S112" s="614"/>
      <c r="T112" s="614"/>
      <c r="U112" s="614"/>
      <c r="V112" s="614"/>
      <c r="W112" s="614"/>
      <c r="X112" s="614"/>
      <c r="Y112" s="304"/>
      <c r="Z112" s="304"/>
      <c r="AA112" s="304"/>
      <c r="AB112" s="304"/>
      <c r="AC112" s="304"/>
      <c r="AD112" s="304"/>
      <c r="AE112" s="304"/>
    </row>
    <row r="113" spans="1:31" s="105" customFormat="1">
      <c r="A113" s="569"/>
      <c r="B113" s="774" t="s">
        <v>254</v>
      </c>
      <c r="C113" s="775"/>
      <c r="D113" s="776"/>
      <c r="E113" s="774" t="s">
        <v>498</v>
      </c>
      <c r="F113" s="775"/>
      <c r="G113" s="775"/>
      <c r="H113" s="775"/>
      <c r="I113" s="775"/>
      <c r="J113" s="776"/>
      <c r="K113" s="774" t="s">
        <v>499</v>
      </c>
      <c r="L113" s="775"/>
      <c r="M113" s="776"/>
      <c r="N113" s="774" t="s">
        <v>516</v>
      </c>
      <c r="O113" s="775"/>
      <c r="P113" s="775"/>
      <c r="Q113" s="776"/>
      <c r="R113" s="569"/>
      <c r="S113" s="614"/>
      <c r="T113" s="614"/>
      <c r="U113" s="614"/>
      <c r="V113" s="614"/>
      <c r="W113" s="614"/>
      <c r="X113" s="614"/>
      <c r="Y113" s="304"/>
      <c r="Z113" s="304"/>
      <c r="AA113" s="304"/>
      <c r="AB113" s="304"/>
      <c r="AC113" s="304"/>
      <c r="AD113" s="304"/>
      <c r="AE113" s="304"/>
    </row>
    <row r="114" spans="1:31" s="105" customFormat="1">
      <c r="A114" s="569"/>
      <c r="B114" s="762" t="s">
        <v>500</v>
      </c>
      <c r="C114" s="763"/>
      <c r="D114" s="764"/>
      <c r="E114" s="624" t="s">
        <v>501</v>
      </c>
      <c r="F114" s="624"/>
      <c r="G114" s="624"/>
      <c r="H114" s="624"/>
      <c r="I114" s="624"/>
      <c r="J114" s="626"/>
      <c r="K114" s="623" t="s">
        <v>502</v>
      </c>
      <c r="L114" s="624"/>
      <c r="M114" s="625"/>
      <c r="N114" s="623" t="s">
        <v>517</v>
      </c>
      <c r="O114" s="624"/>
      <c r="P114" s="624"/>
      <c r="Q114" s="625"/>
      <c r="R114" s="569"/>
      <c r="S114" s="614"/>
      <c r="T114" s="614"/>
      <c r="U114" s="614"/>
      <c r="V114" s="614"/>
      <c r="W114" s="614"/>
      <c r="X114" s="614"/>
      <c r="Y114" s="304"/>
      <c r="Z114" s="304"/>
      <c r="AA114" s="304"/>
      <c r="AB114" s="304"/>
      <c r="AC114" s="304"/>
      <c r="AD114" s="304"/>
      <c r="AE114" s="304"/>
    </row>
    <row r="115" spans="1:31" s="105" customFormat="1">
      <c r="A115" s="569"/>
      <c r="B115" s="765"/>
      <c r="C115" s="766"/>
      <c r="D115" s="767"/>
      <c r="E115" s="628" t="s">
        <v>503</v>
      </c>
      <c r="F115" s="628"/>
      <c r="G115" s="628"/>
      <c r="H115" s="628"/>
      <c r="I115" s="628"/>
      <c r="J115" s="630"/>
      <c r="K115" s="627" t="s">
        <v>504</v>
      </c>
      <c r="L115" s="628"/>
      <c r="M115" s="629"/>
      <c r="N115" s="627" t="s">
        <v>518</v>
      </c>
      <c r="O115" s="628"/>
      <c r="P115" s="628"/>
      <c r="Q115" s="629"/>
      <c r="R115" s="569"/>
      <c r="S115" s="614"/>
      <c r="T115" s="614"/>
      <c r="U115" s="614"/>
      <c r="V115" s="614"/>
      <c r="W115" s="614"/>
      <c r="X115" s="614"/>
      <c r="Y115" s="304"/>
      <c r="Z115" s="304"/>
      <c r="AA115" s="304"/>
      <c r="AB115" s="304"/>
      <c r="AC115" s="304"/>
      <c r="AD115" s="304"/>
      <c r="AE115" s="304"/>
    </row>
    <row r="116" spans="1:31" s="105" customFormat="1">
      <c r="A116" s="569"/>
      <c r="B116" s="774" t="s">
        <v>505</v>
      </c>
      <c r="C116" s="775"/>
      <c r="D116" s="776"/>
      <c r="E116" s="622" t="s">
        <v>506</v>
      </c>
      <c r="F116" s="622"/>
      <c r="G116" s="622"/>
      <c r="H116" s="622"/>
      <c r="I116" s="622"/>
      <c r="J116" s="631"/>
      <c r="K116" s="621" t="s">
        <v>507</v>
      </c>
      <c r="L116" s="622"/>
      <c r="M116" s="622"/>
      <c r="N116" s="623" t="s">
        <v>520</v>
      </c>
      <c r="O116" s="624"/>
      <c r="P116" s="624"/>
      <c r="Q116" s="625"/>
      <c r="R116" s="569"/>
      <c r="S116" s="614"/>
      <c r="T116" s="614"/>
      <c r="U116" s="614"/>
      <c r="V116" s="614"/>
      <c r="W116" s="614"/>
      <c r="X116" s="614"/>
      <c r="Y116" s="304"/>
      <c r="Z116" s="304"/>
      <c r="AA116" s="304"/>
      <c r="AB116" s="304"/>
      <c r="AC116" s="304"/>
      <c r="AD116" s="304"/>
      <c r="AE116" s="304"/>
    </row>
    <row r="117" spans="1:31" s="105" customFormat="1">
      <c r="A117" s="569"/>
      <c r="B117" s="762" t="s">
        <v>508</v>
      </c>
      <c r="C117" s="763"/>
      <c r="D117" s="764"/>
      <c r="E117" s="624" t="s">
        <v>509</v>
      </c>
      <c r="F117" s="624"/>
      <c r="G117" s="624"/>
      <c r="H117" s="624"/>
      <c r="I117" s="624"/>
      <c r="J117" s="626"/>
      <c r="K117" s="623" t="s">
        <v>507</v>
      </c>
      <c r="L117" s="624"/>
      <c r="M117" s="624"/>
      <c r="N117" s="632" t="s">
        <v>521</v>
      </c>
      <c r="O117" s="633"/>
      <c r="P117" s="633"/>
      <c r="Q117" s="634"/>
      <c r="R117" s="569"/>
      <c r="S117" s="616"/>
      <c r="T117" s="616"/>
      <c r="U117" s="616"/>
      <c r="V117" s="616"/>
      <c r="W117" s="614"/>
      <c r="X117" s="614"/>
      <c r="Y117" s="304"/>
      <c r="Z117" s="304"/>
      <c r="AA117" s="304"/>
      <c r="AB117" s="304"/>
      <c r="AC117" s="304"/>
      <c r="AD117" s="304"/>
      <c r="AE117" s="304"/>
    </row>
    <row r="118" spans="1:31" s="105" customFormat="1">
      <c r="A118" s="569"/>
      <c r="B118" s="765"/>
      <c r="C118" s="766"/>
      <c r="D118" s="767"/>
      <c r="E118" s="628" t="s">
        <v>510</v>
      </c>
      <c r="F118" s="628"/>
      <c r="G118" s="628"/>
      <c r="H118" s="628"/>
      <c r="I118" s="628"/>
      <c r="J118" s="630"/>
      <c r="K118" s="627"/>
      <c r="L118" s="628"/>
      <c r="M118" s="628"/>
      <c r="N118" s="632" t="s">
        <v>522</v>
      </c>
      <c r="O118" s="633"/>
      <c r="P118" s="633"/>
      <c r="Q118" s="634"/>
      <c r="R118" s="569"/>
      <c r="S118" s="614"/>
      <c r="T118" s="614"/>
      <c r="U118" s="614"/>
      <c r="V118" s="614"/>
      <c r="W118" s="614"/>
      <c r="X118" s="614"/>
      <c r="Y118" s="304"/>
      <c r="Z118" s="304"/>
      <c r="AA118" s="304"/>
      <c r="AB118" s="304"/>
      <c r="AC118" s="304"/>
      <c r="AD118" s="304"/>
      <c r="AE118" s="304"/>
    </row>
    <row r="119" spans="1:31" s="105" customFormat="1">
      <c r="A119" s="569"/>
      <c r="B119" s="762" t="s">
        <v>511</v>
      </c>
      <c r="C119" s="763"/>
      <c r="D119" s="764"/>
      <c r="E119" s="624" t="s">
        <v>512</v>
      </c>
      <c r="F119" s="624"/>
      <c r="G119" s="624"/>
      <c r="H119" s="624"/>
      <c r="I119" s="624"/>
      <c r="J119" s="626"/>
      <c r="K119" s="623" t="s">
        <v>502</v>
      </c>
      <c r="L119" s="624"/>
      <c r="M119" s="624"/>
      <c r="N119" s="623" t="s">
        <v>519</v>
      </c>
      <c r="O119" s="635"/>
      <c r="P119" s="635"/>
      <c r="Q119" s="636"/>
      <c r="R119" s="569"/>
      <c r="S119" s="614"/>
      <c r="T119" s="614"/>
      <c r="U119" s="614"/>
      <c r="V119" s="614"/>
      <c r="W119" s="614"/>
      <c r="X119" s="614"/>
      <c r="Y119" s="304"/>
      <c r="Z119" s="304"/>
      <c r="AA119" s="304"/>
      <c r="AB119" s="304"/>
      <c r="AC119" s="304"/>
      <c r="AD119" s="304"/>
      <c r="AE119" s="304"/>
    </row>
    <row r="120" spans="1:31" s="105" customFormat="1">
      <c r="A120" s="569"/>
      <c r="B120" s="768"/>
      <c r="C120" s="769"/>
      <c r="D120" s="770"/>
      <c r="E120" s="628" t="s">
        <v>513</v>
      </c>
      <c r="F120" s="628"/>
      <c r="G120" s="628"/>
      <c r="H120" s="628"/>
      <c r="I120" s="628"/>
      <c r="J120" s="630"/>
      <c r="K120" s="627" t="s">
        <v>504</v>
      </c>
      <c r="L120" s="628"/>
      <c r="M120" s="628"/>
      <c r="N120" s="627"/>
      <c r="O120" s="628"/>
      <c r="P120" s="628"/>
      <c r="Q120" s="629"/>
      <c r="R120" s="569"/>
      <c r="S120" s="614"/>
      <c r="T120" s="614"/>
      <c r="U120" s="614"/>
      <c r="V120" s="614"/>
      <c r="W120" s="614"/>
      <c r="X120" s="614"/>
      <c r="Y120" s="304"/>
      <c r="Z120" s="304"/>
      <c r="AA120" s="304"/>
      <c r="AB120" s="304"/>
      <c r="AC120" s="304"/>
      <c r="AD120" s="304"/>
      <c r="AE120" s="304"/>
    </row>
    <row r="121" spans="1:31" s="105" customFormat="1">
      <c r="A121" s="569"/>
      <c r="B121" s="768"/>
      <c r="C121" s="769"/>
      <c r="D121" s="770"/>
      <c r="E121" s="624" t="s">
        <v>514</v>
      </c>
      <c r="F121" s="624"/>
      <c r="G121" s="624"/>
      <c r="H121" s="624"/>
      <c r="I121" s="624"/>
      <c r="J121" s="626"/>
      <c r="K121" s="777" t="s">
        <v>523</v>
      </c>
      <c r="L121" s="778"/>
      <c r="M121" s="779"/>
      <c r="N121" s="623"/>
      <c r="O121" s="624"/>
      <c r="P121" s="624"/>
      <c r="Q121" s="625"/>
      <c r="R121" s="569"/>
      <c r="S121" s="614"/>
      <c r="T121" s="614"/>
      <c r="U121" s="614"/>
      <c r="V121" s="614"/>
      <c r="W121" s="614"/>
      <c r="X121" s="614"/>
      <c r="Y121" s="304"/>
      <c r="Z121" s="304"/>
      <c r="AA121" s="304"/>
      <c r="AB121" s="304"/>
      <c r="AC121" s="304"/>
      <c r="AD121" s="304"/>
      <c r="AE121" s="304"/>
    </row>
    <row r="122" spans="1:31" s="105" customFormat="1" ht="16.2" customHeight="1">
      <c r="A122" s="569"/>
      <c r="B122" s="765"/>
      <c r="C122" s="766"/>
      <c r="D122" s="767"/>
      <c r="E122" s="628" t="s">
        <v>515</v>
      </c>
      <c r="F122" s="628"/>
      <c r="G122" s="628"/>
      <c r="H122" s="628"/>
      <c r="I122" s="628"/>
      <c r="J122" s="629"/>
      <c r="K122" s="780"/>
      <c r="L122" s="781"/>
      <c r="M122" s="782"/>
      <c r="N122" s="627"/>
      <c r="O122" s="628"/>
      <c r="P122" s="628"/>
      <c r="Q122" s="629"/>
      <c r="R122" s="569"/>
      <c r="S122" s="614"/>
      <c r="T122" s="614"/>
      <c r="U122" s="614"/>
      <c r="V122" s="614"/>
      <c r="W122" s="614"/>
      <c r="X122" s="614"/>
      <c r="Y122" s="304"/>
      <c r="Z122" s="304"/>
      <c r="AA122" s="304"/>
      <c r="AB122" s="304"/>
      <c r="AC122" s="304"/>
      <c r="AD122" s="304"/>
      <c r="AE122" s="304"/>
    </row>
    <row r="123" spans="1:31" s="105" customFormat="1">
      <c r="A123" s="569"/>
      <c r="B123" s="706" t="s">
        <v>728</v>
      </c>
      <c r="C123" s="615"/>
      <c r="D123" s="615"/>
      <c r="E123" s="615"/>
      <c r="F123" s="615"/>
      <c r="G123" s="615"/>
      <c r="H123" s="615"/>
      <c r="I123" s="615"/>
      <c r="J123" s="615"/>
      <c r="K123" s="615"/>
      <c r="L123" s="614"/>
      <c r="M123" s="614"/>
      <c r="N123" s="614"/>
      <c r="O123" s="614"/>
      <c r="P123" s="614"/>
      <c r="Q123" s="614"/>
      <c r="R123" s="569"/>
      <c r="S123" s="614"/>
      <c r="T123" s="614"/>
      <c r="U123" s="614"/>
      <c r="V123" s="614"/>
      <c r="W123" s="614"/>
      <c r="X123" s="614"/>
      <c r="Y123" s="304"/>
      <c r="Z123" s="304"/>
      <c r="AA123" s="304"/>
      <c r="AB123" s="304"/>
      <c r="AC123" s="304"/>
      <c r="AD123" s="304"/>
      <c r="AE123" s="304"/>
    </row>
    <row r="124" spans="1:31" s="105" customFormat="1">
      <c r="A124" s="569"/>
      <c r="B124" s="706" t="s">
        <v>730</v>
      </c>
      <c r="C124" s="615"/>
      <c r="D124" s="615"/>
      <c r="E124" s="615"/>
      <c r="F124" s="615"/>
      <c r="G124" s="615"/>
      <c r="H124" s="615"/>
      <c r="I124" s="615"/>
      <c r="J124" s="615"/>
      <c r="K124" s="615"/>
      <c r="L124" s="614"/>
      <c r="M124" s="614"/>
      <c r="N124" s="614"/>
      <c r="O124" s="614"/>
      <c r="P124" s="614"/>
      <c r="Q124" s="614"/>
      <c r="R124" s="569"/>
      <c r="S124" s="614"/>
      <c r="T124" s="614"/>
      <c r="U124" s="614"/>
      <c r="V124" s="614"/>
      <c r="W124" s="614"/>
      <c r="X124" s="614"/>
      <c r="Y124" s="304"/>
      <c r="Z124" s="304"/>
      <c r="AA124" s="304"/>
      <c r="AB124" s="304"/>
      <c r="AC124" s="304"/>
      <c r="AD124" s="304"/>
      <c r="AE124" s="304"/>
    </row>
    <row r="125" spans="1:31" s="105" customFormat="1">
      <c r="A125" s="569"/>
      <c r="B125" s="771" t="s">
        <v>729</v>
      </c>
      <c r="C125" s="771"/>
      <c r="D125" s="771"/>
      <c r="E125" s="771"/>
      <c r="F125" s="771"/>
      <c r="G125" s="771"/>
      <c r="H125" s="771"/>
      <c r="I125" s="771"/>
      <c r="J125" s="771"/>
      <c r="K125" s="771"/>
      <c r="L125" s="771"/>
      <c r="M125" s="771"/>
      <c r="N125" s="771"/>
      <c r="O125" s="771"/>
      <c r="P125" s="771"/>
      <c r="Q125" s="771"/>
      <c r="R125" s="569"/>
      <c r="S125" s="614"/>
      <c r="T125" s="614"/>
      <c r="U125" s="614"/>
      <c r="V125" s="614"/>
      <c r="W125" s="614"/>
      <c r="X125" s="614"/>
      <c r="Y125" s="304"/>
      <c r="Z125" s="304"/>
      <c r="AA125" s="304"/>
      <c r="AB125" s="304"/>
      <c r="AC125" s="304"/>
      <c r="AD125" s="304"/>
      <c r="AE125" s="304"/>
    </row>
  </sheetData>
  <mergeCells count="67">
    <mergeCell ref="C81:P81"/>
    <mergeCell ref="C86:P86"/>
    <mergeCell ref="K113:M113"/>
    <mergeCell ref="B114:D115"/>
    <mergeCell ref="B116:D116"/>
    <mergeCell ref="B117:D118"/>
    <mergeCell ref="B119:D122"/>
    <mergeCell ref="B75:O75"/>
    <mergeCell ref="B125:Q125"/>
    <mergeCell ref="B109:O109"/>
    <mergeCell ref="B110:O110"/>
    <mergeCell ref="B112:Q112"/>
    <mergeCell ref="B88:D88"/>
    <mergeCell ref="E88:F88"/>
    <mergeCell ref="K88:N88"/>
    <mergeCell ref="B89:D89"/>
    <mergeCell ref="E89:F89"/>
    <mergeCell ref="N113:Q113"/>
    <mergeCell ref="K121:M122"/>
    <mergeCell ref="B113:D113"/>
    <mergeCell ref="E113:J113"/>
    <mergeCell ref="B70:O70"/>
    <mergeCell ref="B71:O71"/>
    <mergeCell ref="C72:O72"/>
    <mergeCell ref="B74:O74"/>
    <mergeCell ref="A65:O65"/>
    <mergeCell ref="B66:O66"/>
    <mergeCell ref="B67:O67"/>
    <mergeCell ref="A68:O68"/>
    <mergeCell ref="B69:O69"/>
    <mergeCell ref="A61:O61"/>
    <mergeCell ref="B62:O62"/>
    <mergeCell ref="B63:O63"/>
    <mergeCell ref="B64:O64"/>
    <mergeCell ref="B54:O54"/>
    <mergeCell ref="B55:O55"/>
    <mergeCell ref="B56:O56"/>
    <mergeCell ref="B57:O57"/>
    <mergeCell ref="A58:O58"/>
    <mergeCell ref="C45:O45"/>
    <mergeCell ref="C48:O48"/>
    <mergeCell ref="C50:O50"/>
    <mergeCell ref="A52:O52"/>
    <mergeCell ref="B53:O53"/>
    <mergeCell ref="C49:O49"/>
    <mergeCell ref="C34:O34"/>
    <mergeCell ref="C35:O35"/>
    <mergeCell ref="B41:O41"/>
    <mergeCell ref="C42:O42"/>
    <mergeCell ref="B13:O13"/>
    <mergeCell ref="B21:O21"/>
    <mergeCell ref="A36:O36"/>
    <mergeCell ref="B22:O22"/>
    <mergeCell ref="B23:O23"/>
    <mergeCell ref="B24:O24"/>
    <mergeCell ref="C29:O29"/>
    <mergeCell ref="C30:O30"/>
    <mergeCell ref="B6:O6"/>
    <mergeCell ref="B8:O8"/>
    <mergeCell ref="B7:O7"/>
    <mergeCell ref="B3:O3"/>
    <mergeCell ref="B20:O20"/>
    <mergeCell ref="B14:C14"/>
    <mergeCell ref="B15:C15"/>
    <mergeCell ref="B17:O17"/>
    <mergeCell ref="B18:O18"/>
    <mergeCell ref="B19:O19"/>
  </mergeCells>
  <phoneticPr fontId="4" type="noConversion"/>
  <hyperlinks>
    <hyperlink ref="C72" r:id="rId1" display="http://www.noiseinfo.or.kr/"/>
  </hyperlinks>
  <printOptions horizontalCentered="1"/>
  <pageMargins left="0.19685039370078741" right="0.19685039370078741" top="0.51181102362204722" bottom="0.27559055118110237" header="0.51181102362204722" footer="0.23622047244094491"/>
  <pageSetup paperSize="9" scale="80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P317"/>
  <sheetViews>
    <sheetView topLeftCell="A64" zoomScale="124" zoomScaleNormal="124" zoomScaleSheetLayoutView="100" workbookViewId="0">
      <selection activeCell="D15" sqref="D15"/>
    </sheetView>
  </sheetViews>
  <sheetFormatPr defaultColWidth="9.796875" defaultRowHeight="17.399999999999999"/>
  <cols>
    <col min="1" max="2" width="4.3984375" style="142" customWidth="1"/>
    <col min="3" max="3" width="9.8984375" style="142" customWidth="1"/>
    <col min="4" max="4" width="13.19921875" style="142" customWidth="1"/>
    <col min="5" max="5" width="7.59765625" style="142" customWidth="1"/>
    <col min="6" max="6" width="6.19921875" style="142" customWidth="1"/>
    <col min="7" max="7" width="3.796875" style="142" customWidth="1"/>
    <col min="8" max="8" width="7.09765625" style="142" customWidth="1"/>
    <col min="9" max="9" width="2.796875" style="142" customWidth="1"/>
    <col min="10" max="10" width="2.8984375" style="142" customWidth="1"/>
    <col min="11" max="11" width="3.296875" style="142" customWidth="1"/>
    <col min="12" max="12" width="3.796875" style="142" customWidth="1"/>
    <col min="13" max="13" width="7.3984375" style="142" customWidth="1"/>
    <col min="14" max="14" width="10.69921875" style="142" customWidth="1"/>
    <col min="15" max="15" width="11.796875" style="462" customWidth="1"/>
    <col min="16" max="16" width="11.59765625" style="399" customWidth="1"/>
    <col min="17" max="17" width="9.296875" style="399" customWidth="1"/>
    <col min="18" max="18" width="13.796875" style="399" customWidth="1"/>
    <col min="19" max="19" width="9.09765625" style="399" customWidth="1"/>
    <col min="20" max="20" width="6.796875" style="399" customWidth="1"/>
    <col min="21" max="21" width="6.19921875" style="399" customWidth="1"/>
    <col min="22" max="22" width="5.8984375" style="399" customWidth="1"/>
    <col min="23" max="23" width="1.59765625" style="399" customWidth="1"/>
    <col min="24" max="24" width="9" style="363" bestFit="1" customWidth="1"/>
    <col min="25" max="25" width="12.3984375" style="363" customWidth="1"/>
    <col min="26" max="27" width="9.796875" style="363"/>
    <col min="28" max="29" width="9.796875" style="401"/>
    <col min="30" max="32" width="9.796875" style="402"/>
    <col min="33" max="16384" width="9.796875" style="142"/>
  </cols>
  <sheetData>
    <row r="1" spans="1:32" s="2" customFormat="1" ht="5.25" customHeight="1">
      <c r="A1" s="104"/>
      <c r="D1" s="87"/>
      <c r="E1" s="87"/>
      <c r="O1" s="454"/>
      <c r="P1" s="44"/>
      <c r="Q1" s="44"/>
      <c r="R1" s="44"/>
      <c r="S1" s="44"/>
      <c r="T1" s="44"/>
      <c r="U1" s="44"/>
      <c r="V1" s="44"/>
      <c r="W1" s="44"/>
      <c r="X1" s="454"/>
      <c r="Y1" s="454"/>
      <c r="Z1" s="454"/>
      <c r="AA1" s="454"/>
      <c r="AB1" s="400"/>
      <c r="AC1" s="400"/>
      <c r="AD1" s="400"/>
      <c r="AE1" s="400"/>
      <c r="AF1" s="400"/>
    </row>
    <row r="2" spans="1:32" ht="22.5" customHeight="1">
      <c r="A2" s="144" t="s">
        <v>107</v>
      </c>
      <c r="B2" s="145"/>
      <c r="C2" s="145"/>
      <c r="D2" s="146"/>
      <c r="E2" s="145"/>
      <c r="F2" s="145"/>
      <c r="G2" s="145"/>
      <c r="H2" s="145"/>
      <c r="I2" s="147"/>
      <c r="J2" s="147"/>
      <c r="K2" s="147"/>
      <c r="L2" s="147"/>
      <c r="M2" s="147"/>
      <c r="N2" s="147"/>
    </row>
    <row r="3" spans="1:32" ht="3.75" customHeight="1">
      <c r="A3" s="148"/>
      <c r="B3" s="149"/>
      <c r="C3" s="149"/>
      <c r="D3" s="149"/>
      <c r="E3" s="149"/>
      <c r="F3" s="149"/>
      <c r="G3" s="150"/>
      <c r="H3" s="150"/>
    </row>
    <row r="4" spans="1:32" ht="15.75" customHeight="1">
      <c r="A4" s="912" t="s">
        <v>106</v>
      </c>
      <c r="B4" s="912"/>
      <c r="C4" s="912"/>
      <c r="D4" s="151" t="s">
        <v>105</v>
      </c>
      <c r="E4" s="152"/>
      <c r="F4" s="153"/>
      <c r="G4" s="153"/>
      <c r="H4" s="153"/>
      <c r="I4" s="153"/>
      <c r="J4" s="154"/>
      <c r="K4" s="912" t="s">
        <v>104</v>
      </c>
      <c r="L4" s="912"/>
      <c r="M4" s="912"/>
      <c r="N4" s="912" t="s">
        <v>92</v>
      </c>
      <c r="O4" s="466"/>
    </row>
    <row r="5" spans="1:32" ht="13.5" customHeight="1" thickBot="1">
      <c r="A5" s="882"/>
      <c r="B5" s="882"/>
      <c r="C5" s="882"/>
      <c r="D5" s="155">
        <v>8</v>
      </c>
      <c r="E5" s="1003">
        <v>9</v>
      </c>
      <c r="F5" s="1004"/>
      <c r="G5" s="1005"/>
      <c r="H5" s="1016" t="s">
        <v>294</v>
      </c>
      <c r="I5" s="1016"/>
      <c r="J5" s="1016"/>
      <c r="K5" s="882"/>
      <c r="L5" s="882"/>
      <c r="M5" s="882"/>
      <c r="N5" s="882"/>
      <c r="O5" s="466"/>
    </row>
    <row r="6" spans="1:32" ht="14.25" customHeight="1" thickTop="1">
      <c r="A6" s="977" t="s">
        <v>299</v>
      </c>
      <c r="B6" s="977"/>
      <c r="C6" s="977"/>
      <c r="D6" s="158">
        <v>30354700</v>
      </c>
      <c r="E6" s="1006">
        <f>M36</f>
        <v>30349040</v>
      </c>
      <c r="F6" s="1007"/>
      <c r="G6" s="1008"/>
      <c r="H6" s="1000">
        <f>E6-D6</f>
        <v>-5660</v>
      </c>
      <c r="I6" s="1000"/>
      <c r="J6" s="1000"/>
      <c r="K6" s="914">
        <f>H70</f>
        <v>30352890</v>
      </c>
      <c r="L6" s="914"/>
      <c r="M6" s="914"/>
      <c r="N6" s="159">
        <f>K6-E6</f>
        <v>3850</v>
      </c>
      <c r="O6" s="160"/>
      <c r="P6" s="372"/>
      <c r="Q6" s="364"/>
    </row>
    <row r="7" spans="1:32" ht="14.25" customHeight="1">
      <c r="A7" s="1009" t="s">
        <v>300</v>
      </c>
      <c r="B7" s="1009"/>
      <c r="C7" s="1009"/>
      <c r="D7" s="161">
        <v>24724350</v>
      </c>
      <c r="E7" s="951">
        <f>M72</f>
        <v>24724350</v>
      </c>
      <c r="F7" s="984"/>
      <c r="G7" s="985"/>
      <c r="H7" s="986">
        <f t="shared" ref="H7:H15" si="0">E7-D7</f>
        <v>0</v>
      </c>
      <c r="I7" s="986"/>
      <c r="J7" s="986"/>
      <c r="K7" s="892">
        <f>H88</f>
        <v>24722230</v>
      </c>
      <c r="L7" s="892"/>
      <c r="M7" s="892"/>
      <c r="N7" s="162">
        <f t="shared" ref="N7:N15" si="1">K7-E7</f>
        <v>-2120</v>
      </c>
      <c r="O7" s="467"/>
      <c r="P7" s="575"/>
    </row>
    <row r="8" spans="1:32" ht="14.25" customHeight="1">
      <c r="A8" s="1009" t="s">
        <v>301</v>
      </c>
      <c r="B8" s="1009"/>
      <c r="C8" s="1009"/>
      <c r="D8" s="161">
        <v>22873570</v>
      </c>
      <c r="E8" s="951">
        <f>M91</f>
        <v>22873570</v>
      </c>
      <c r="F8" s="984"/>
      <c r="G8" s="985"/>
      <c r="H8" s="986">
        <f t="shared" si="0"/>
        <v>0</v>
      </c>
      <c r="I8" s="986"/>
      <c r="J8" s="986"/>
      <c r="K8" s="892">
        <f>H107</f>
        <v>22872210</v>
      </c>
      <c r="L8" s="892"/>
      <c r="M8" s="892"/>
      <c r="N8" s="162">
        <f t="shared" si="1"/>
        <v>-1360</v>
      </c>
      <c r="O8" s="468"/>
      <c r="P8" s="365"/>
    </row>
    <row r="9" spans="1:32" ht="14.25" customHeight="1">
      <c r="A9" s="1009" t="s">
        <v>302</v>
      </c>
      <c r="B9" s="1009"/>
      <c r="C9" s="1009"/>
      <c r="D9" s="161">
        <v>980000</v>
      </c>
      <c r="E9" s="951">
        <f>M111</f>
        <v>980000</v>
      </c>
      <c r="F9" s="984"/>
      <c r="G9" s="985"/>
      <c r="H9" s="986">
        <f t="shared" si="0"/>
        <v>0</v>
      </c>
      <c r="I9" s="986"/>
      <c r="J9" s="986"/>
      <c r="K9" s="892">
        <f>H125</f>
        <v>979140</v>
      </c>
      <c r="L9" s="892"/>
      <c r="M9" s="892"/>
      <c r="N9" s="162">
        <f t="shared" si="1"/>
        <v>-860</v>
      </c>
      <c r="O9" s="160"/>
      <c r="P9" s="575"/>
      <c r="Q9" s="365"/>
    </row>
    <row r="10" spans="1:32" ht="14.25" customHeight="1">
      <c r="A10" s="1009" t="s">
        <v>303</v>
      </c>
      <c r="B10" s="1009"/>
      <c r="C10" s="1009"/>
      <c r="D10" s="161">
        <v>1978000</v>
      </c>
      <c r="E10" s="951">
        <f>M127</f>
        <v>1978000</v>
      </c>
      <c r="F10" s="984"/>
      <c r="G10" s="985"/>
      <c r="H10" s="986">
        <f t="shared" si="0"/>
        <v>0</v>
      </c>
      <c r="I10" s="986"/>
      <c r="J10" s="986"/>
      <c r="K10" s="892">
        <f>H142</f>
        <v>1980020</v>
      </c>
      <c r="L10" s="892"/>
      <c r="M10" s="892"/>
      <c r="N10" s="162">
        <f t="shared" si="1"/>
        <v>2020</v>
      </c>
      <c r="O10" s="160"/>
      <c r="P10" s="575"/>
      <c r="Q10" s="365"/>
    </row>
    <row r="11" spans="1:32" s="289" customFormat="1" ht="14.25" customHeight="1">
      <c r="A11" s="1010" t="s">
        <v>304</v>
      </c>
      <c r="B11" s="1011"/>
      <c r="C11" s="1012"/>
      <c r="D11" s="161">
        <v>660000</v>
      </c>
      <c r="E11" s="951">
        <f>M143</f>
        <v>660000</v>
      </c>
      <c r="F11" s="952"/>
      <c r="G11" s="953"/>
      <c r="H11" s="990"/>
      <c r="I11" s="991"/>
      <c r="J11" s="992"/>
      <c r="K11" s="892">
        <f>H158</f>
        <v>657310</v>
      </c>
      <c r="L11" s="892"/>
      <c r="M11" s="892"/>
      <c r="N11" s="162">
        <f t="shared" si="1"/>
        <v>-2690</v>
      </c>
      <c r="O11" s="160"/>
      <c r="P11" s="575"/>
      <c r="Q11" s="365"/>
      <c r="R11" s="399"/>
      <c r="S11" s="399"/>
      <c r="T11" s="399"/>
      <c r="U11" s="399"/>
      <c r="V11" s="399"/>
      <c r="W11" s="399"/>
      <c r="X11" s="363"/>
      <c r="Y11" s="363"/>
      <c r="Z11" s="363"/>
      <c r="AA11" s="363"/>
      <c r="AB11" s="401"/>
      <c r="AC11" s="401"/>
      <c r="AD11" s="402"/>
      <c r="AE11" s="402"/>
      <c r="AF11" s="402"/>
    </row>
    <row r="12" spans="1:32" ht="14.25" customHeight="1">
      <c r="A12" s="1009" t="s">
        <v>305</v>
      </c>
      <c r="B12" s="1009"/>
      <c r="C12" s="1009"/>
      <c r="D12" s="161">
        <v>9462010</v>
      </c>
      <c r="E12" s="951">
        <f>M160</f>
        <v>6914800</v>
      </c>
      <c r="F12" s="984"/>
      <c r="G12" s="985"/>
      <c r="H12" s="986">
        <f>E12-D12</f>
        <v>-2547210</v>
      </c>
      <c r="I12" s="986"/>
      <c r="J12" s="986"/>
      <c r="K12" s="892">
        <f>H192</f>
        <v>6913630</v>
      </c>
      <c r="L12" s="892"/>
      <c r="M12" s="892"/>
      <c r="N12" s="162">
        <f t="shared" si="1"/>
        <v>-1170</v>
      </c>
      <c r="O12" s="160"/>
      <c r="P12" s="575"/>
      <c r="Q12" s="365"/>
    </row>
    <row r="13" spans="1:32" ht="14.25" customHeight="1">
      <c r="A13" s="1009" t="s">
        <v>306</v>
      </c>
      <c r="B13" s="1009"/>
      <c r="C13" s="1009"/>
      <c r="D13" s="161">
        <v>16638150</v>
      </c>
      <c r="E13" s="951">
        <f>M194</f>
        <v>16638150</v>
      </c>
      <c r="F13" s="984"/>
      <c r="G13" s="985"/>
      <c r="H13" s="986">
        <f t="shared" si="0"/>
        <v>0</v>
      </c>
      <c r="I13" s="986"/>
      <c r="J13" s="986"/>
      <c r="K13" s="892">
        <f>H204</f>
        <v>16638150</v>
      </c>
      <c r="L13" s="892"/>
      <c r="M13" s="892"/>
      <c r="N13" s="162">
        <f t="shared" si="1"/>
        <v>0</v>
      </c>
      <c r="O13" s="160"/>
      <c r="P13" s="575"/>
      <c r="Q13" s="365"/>
    </row>
    <row r="14" spans="1:32" ht="14.25" customHeight="1">
      <c r="A14" s="1010" t="s">
        <v>307</v>
      </c>
      <c r="B14" s="1011"/>
      <c r="C14" s="1012"/>
      <c r="D14" s="161">
        <v>1207840</v>
      </c>
      <c r="E14" s="951">
        <f>M210</f>
        <v>1207840</v>
      </c>
      <c r="F14" s="984"/>
      <c r="G14" s="985"/>
      <c r="H14" s="986">
        <f t="shared" si="0"/>
        <v>0</v>
      </c>
      <c r="I14" s="986"/>
      <c r="J14" s="986"/>
      <c r="K14" s="892">
        <f>H224</f>
        <v>1207350</v>
      </c>
      <c r="L14" s="892"/>
      <c r="M14" s="892"/>
      <c r="N14" s="162">
        <f t="shared" si="1"/>
        <v>-490</v>
      </c>
      <c r="O14" s="160"/>
      <c r="P14" s="575"/>
      <c r="Q14" s="365"/>
    </row>
    <row r="15" spans="1:32" ht="14.25" customHeight="1">
      <c r="A15" s="1009" t="s">
        <v>308</v>
      </c>
      <c r="B15" s="1009"/>
      <c r="C15" s="1009"/>
      <c r="D15" s="164">
        <v>1571800</v>
      </c>
      <c r="E15" s="951">
        <f>M226</f>
        <v>1571800</v>
      </c>
      <c r="F15" s="984"/>
      <c r="G15" s="985"/>
      <c r="H15" s="986">
        <f t="shared" si="0"/>
        <v>0</v>
      </c>
      <c r="I15" s="986"/>
      <c r="J15" s="986"/>
      <c r="K15" s="892">
        <f>H238</f>
        <v>1571010</v>
      </c>
      <c r="L15" s="892"/>
      <c r="M15" s="892"/>
      <c r="N15" s="162">
        <f t="shared" si="1"/>
        <v>-790</v>
      </c>
      <c r="O15" s="160"/>
    </row>
    <row r="16" spans="1:32" ht="14.25" customHeight="1">
      <c r="A16" s="1009" t="s">
        <v>309</v>
      </c>
      <c r="B16" s="1009"/>
      <c r="C16" s="1009"/>
      <c r="D16" s="161">
        <v>2766950</v>
      </c>
      <c r="E16" s="951">
        <f>M240</f>
        <v>2542580</v>
      </c>
      <c r="F16" s="984"/>
      <c r="G16" s="985"/>
      <c r="H16" s="986">
        <f>E16-D16</f>
        <v>-224370</v>
      </c>
      <c r="I16" s="986"/>
      <c r="J16" s="986"/>
      <c r="K16" s="892">
        <f>K246</f>
        <v>2542580</v>
      </c>
      <c r="L16" s="892"/>
      <c r="M16" s="892"/>
      <c r="N16" s="162">
        <v>0</v>
      </c>
      <c r="O16" s="160"/>
      <c r="P16" s="575"/>
      <c r="Q16" s="365"/>
    </row>
    <row r="17" spans="1:21" ht="14.25" customHeight="1">
      <c r="A17" s="1009" t="s">
        <v>310</v>
      </c>
      <c r="B17" s="1009"/>
      <c r="C17" s="1009"/>
      <c r="D17" s="164">
        <v>1000000</v>
      </c>
      <c r="E17" s="951">
        <f>M248</f>
        <v>1500000</v>
      </c>
      <c r="F17" s="984"/>
      <c r="G17" s="985"/>
      <c r="H17" s="986">
        <f>E17-D17</f>
        <v>500000</v>
      </c>
      <c r="I17" s="986"/>
      <c r="J17" s="986"/>
      <c r="K17" s="892">
        <f>H258</f>
        <v>1497680</v>
      </c>
      <c r="L17" s="892"/>
      <c r="M17" s="892"/>
      <c r="N17" s="162">
        <f>K17-E17</f>
        <v>-2320</v>
      </c>
      <c r="O17" s="160"/>
      <c r="U17" s="361"/>
    </row>
    <row r="18" spans="1:21" ht="14.25" customHeight="1">
      <c r="A18" s="1010" t="s">
        <v>311</v>
      </c>
      <c r="B18" s="1011"/>
      <c r="C18" s="1012"/>
      <c r="D18" s="165">
        <v>0</v>
      </c>
      <c r="E18" s="951">
        <f>M259</f>
        <v>350000</v>
      </c>
      <c r="F18" s="952"/>
      <c r="G18" s="953"/>
      <c r="H18" s="990">
        <f>E18-D18</f>
        <v>350000</v>
      </c>
      <c r="I18" s="991"/>
      <c r="J18" s="992"/>
      <c r="K18" s="951">
        <f>H269</f>
        <v>350150</v>
      </c>
      <c r="L18" s="952"/>
      <c r="M18" s="953"/>
      <c r="N18" s="162">
        <f>K18-E18</f>
        <v>150</v>
      </c>
      <c r="O18" s="469">
        <f>SUM(E6:G18)</f>
        <v>112290130</v>
      </c>
      <c r="U18" s="361"/>
    </row>
    <row r="19" spans="1:21" ht="14.25" customHeight="1">
      <c r="A19" s="1020" t="s">
        <v>312</v>
      </c>
      <c r="B19" s="1021"/>
      <c r="C19" s="166" t="s">
        <v>173</v>
      </c>
      <c r="D19" s="167">
        <v>15768470</v>
      </c>
      <c r="E19" s="951">
        <v>16799030</v>
      </c>
      <c r="F19" s="984"/>
      <c r="G19" s="985"/>
      <c r="H19" s="993"/>
      <c r="I19" s="1001"/>
      <c r="J19" s="1002"/>
      <c r="K19" s="951">
        <v>16799700</v>
      </c>
      <c r="L19" s="984"/>
      <c r="M19" s="985"/>
      <c r="N19" s="978" t="s">
        <v>174</v>
      </c>
      <c r="O19" s="470"/>
      <c r="P19" s="575"/>
      <c r="Q19" s="361"/>
      <c r="U19" s="361"/>
    </row>
    <row r="20" spans="1:21" ht="14.25" customHeight="1">
      <c r="A20" s="1022"/>
      <c r="B20" s="1023"/>
      <c r="C20" s="166" t="s">
        <v>112</v>
      </c>
      <c r="D20" s="167">
        <v>12759410</v>
      </c>
      <c r="E20" s="951">
        <v>13609170</v>
      </c>
      <c r="F20" s="984"/>
      <c r="G20" s="985"/>
      <c r="H20" s="993"/>
      <c r="I20" s="994"/>
      <c r="J20" s="995"/>
      <c r="K20" s="951">
        <v>13608540</v>
      </c>
      <c r="L20" s="984"/>
      <c r="M20" s="985"/>
      <c r="N20" s="979"/>
      <c r="O20" s="470"/>
      <c r="P20" s="575"/>
      <c r="Q20" s="361"/>
      <c r="U20" s="361"/>
    </row>
    <row r="21" spans="1:21" ht="14.25" customHeight="1">
      <c r="A21" s="1022"/>
      <c r="B21" s="1023"/>
      <c r="C21" s="166" t="s">
        <v>103</v>
      </c>
      <c r="D21" s="167">
        <v>3731680</v>
      </c>
      <c r="E21" s="951">
        <v>3925320</v>
      </c>
      <c r="F21" s="984"/>
      <c r="G21" s="985"/>
      <c r="H21" s="993"/>
      <c r="I21" s="994"/>
      <c r="J21" s="995"/>
      <c r="K21" s="951">
        <v>3925720</v>
      </c>
      <c r="L21" s="984"/>
      <c r="M21" s="985"/>
      <c r="N21" s="980"/>
      <c r="O21" s="470"/>
      <c r="P21" s="575"/>
      <c r="Q21" s="361"/>
      <c r="U21" s="361"/>
    </row>
    <row r="22" spans="1:21" ht="14.25" customHeight="1">
      <c r="A22" s="1022"/>
      <c r="B22" s="1023"/>
      <c r="C22" s="166" t="s">
        <v>175</v>
      </c>
      <c r="D22" s="168">
        <v>-194710</v>
      </c>
      <c r="E22" s="951">
        <v>-194710</v>
      </c>
      <c r="F22" s="984"/>
      <c r="G22" s="985"/>
      <c r="H22" s="993"/>
      <c r="I22" s="994"/>
      <c r="J22" s="995"/>
      <c r="K22" s="993">
        <v>-194710</v>
      </c>
      <c r="L22" s="1001"/>
      <c r="M22" s="1002"/>
      <c r="N22" s="652" t="s">
        <v>701</v>
      </c>
      <c r="O22" s="471"/>
      <c r="P22" s="575"/>
      <c r="Q22" s="361"/>
      <c r="U22" s="361"/>
    </row>
    <row r="23" spans="1:21" ht="14.25" customHeight="1">
      <c r="A23" s="1024"/>
      <c r="B23" s="1025"/>
      <c r="C23" s="169" t="s">
        <v>101</v>
      </c>
      <c r="D23" s="164">
        <f>SUM(D19:D22)</f>
        <v>32064850</v>
      </c>
      <c r="E23" s="997">
        <f>SUM(E19:E22)</f>
        <v>34138810</v>
      </c>
      <c r="F23" s="998"/>
      <c r="G23" s="999"/>
      <c r="H23" s="993">
        <f>E23-D23</f>
        <v>2073960</v>
      </c>
      <c r="I23" s="1001"/>
      <c r="J23" s="1002"/>
      <c r="K23" s="993">
        <f>SUM(K19:K22)</f>
        <v>34139250</v>
      </c>
      <c r="L23" s="1001"/>
      <c r="M23" s="1002"/>
      <c r="N23" s="170">
        <f>K23-E23</f>
        <v>440</v>
      </c>
      <c r="O23" s="470">
        <v>26435000</v>
      </c>
    </row>
    <row r="24" spans="1:21" ht="14.25" customHeight="1">
      <c r="A24" s="1020" t="s">
        <v>313</v>
      </c>
      <c r="B24" s="1026"/>
      <c r="C24" s="171" t="s">
        <v>141</v>
      </c>
      <c r="D24" s="172">
        <v>81771660</v>
      </c>
      <c r="E24" s="987">
        <v>27656590</v>
      </c>
      <c r="F24" s="988"/>
      <c r="G24" s="989"/>
      <c r="H24" s="1013"/>
      <c r="I24" s="1014"/>
      <c r="J24" s="1015"/>
      <c r="K24" s="996">
        <f>E24</f>
        <v>27656590</v>
      </c>
      <c r="L24" s="996"/>
      <c r="M24" s="996"/>
      <c r="N24" s="173"/>
      <c r="O24" s="471"/>
    </row>
    <row r="25" spans="1:21" ht="14.25" customHeight="1">
      <c r="A25" s="1022"/>
      <c r="B25" s="1027"/>
      <c r="C25" s="174" t="s">
        <v>113</v>
      </c>
      <c r="D25" s="161">
        <v>1135860</v>
      </c>
      <c r="E25" s="987">
        <v>1010460</v>
      </c>
      <c r="F25" s="988"/>
      <c r="G25" s="989"/>
      <c r="H25" s="990"/>
      <c r="I25" s="991"/>
      <c r="J25" s="992"/>
      <c r="K25" s="996">
        <f>E25</f>
        <v>1010460</v>
      </c>
      <c r="L25" s="996"/>
      <c r="M25" s="996"/>
      <c r="N25" s="162"/>
      <c r="O25" s="472"/>
      <c r="P25" s="575"/>
      <c r="Q25" s="365"/>
    </row>
    <row r="26" spans="1:21" ht="14.25" customHeight="1">
      <c r="A26" s="1022"/>
      <c r="B26" s="1027"/>
      <c r="C26" s="175" t="s">
        <v>90</v>
      </c>
      <c r="D26" s="161">
        <v>2773560</v>
      </c>
      <c r="E26" s="987">
        <v>2814620</v>
      </c>
      <c r="F26" s="988"/>
      <c r="G26" s="989"/>
      <c r="H26" s="990"/>
      <c r="I26" s="991"/>
      <c r="J26" s="992"/>
      <c r="K26" s="996">
        <f>E26</f>
        <v>2814620</v>
      </c>
      <c r="L26" s="996"/>
      <c r="M26" s="996"/>
      <c r="N26" s="162"/>
      <c r="O26" s="473"/>
      <c r="P26" s="575"/>
      <c r="Q26" s="365"/>
    </row>
    <row r="27" spans="1:21" ht="14.25" customHeight="1">
      <c r="A27" s="1028"/>
      <c r="B27" s="1027"/>
      <c r="C27" s="174" t="s">
        <v>89</v>
      </c>
      <c r="D27" s="161">
        <v>20474600</v>
      </c>
      <c r="E27" s="987">
        <v>-2816000</v>
      </c>
      <c r="F27" s="988"/>
      <c r="G27" s="989"/>
      <c r="H27" s="986"/>
      <c r="I27" s="986"/>
      <c r="J27" s="986"/>
      <c r="K27" s="996">
        <v>-2818960</v>
      </c>
      <c r="L27" s="996"/>
      <c r="M27" s="996"/>
      <c r="N27" s="981" t="s">
        <v>176</v>
      </c>
      <c r="O27" s="470"/>
      <c r="P27" s="575"/>
      <c r="Q27" s="365"/>
    </row>
    <row r="28" spans="1:21" ht="14.25" customHeight="1">
      <c r="A28" s="1028"/>
      <c r="B28" s="1027"/>
      <c r="C28" s="176" t="s">
        <v>114</v>
      </c>
      <c r="D28" s="161">
        <v>980590</v>
      </c>
      <c r="E28" s="987">
        <v>256800</v>
      </c>
      <c r="F28" s="988"/>
      <c r="G28" s="989"/>
      <c r="H28" s="990"/>
      <c r="I28" s="991"/>
      <c r="J28" s="992"/>
      <c r="K28" s="996">
        <f>E28</f>
        <v>256800</v>
      </c>
      <c r="L28" s="996"/>
      <c r="M28" s="996"/>
      <c r="N28" s="982"/>
      <c r="O28" s="472"/>
      <c r="P28" s="575"/>
      <c r="Q28" s="365"/>
    </row>
    <row r="29" spans="1:21" ht="14.25" customHeight="1">
      <c r="A29" s="1028"/>
      <c r="B29" s="1027"/>
      <c r="C29" s="174" t="s">
        <v>115</v>
      </c>
      <c r="D29" s="161">
        <v>388580</v>
      </c>
      <c r="E29" s="987">
        <v>388580</v>
      </c>
      <c r="F29" s="988"/>
      <c r="G29" s="989"/>
      <c r="H29" s="986"/>
      <c r="I29" s="986"/>
      <c r="J29" s="986"/>
      <c r="K29" s="996">
        <f>E29</f>
        <v>388580</v>
      </c>
      <c r="L29" s="996"/>
      <c r="M29" s="996"/>
      <c r="N29" s="982"/>
      <c r="O29" s="474"/>
      <c r="P29" s="575"/>
      <c r="Q29" s="365"/>
    </row>
    <row r="30" spans="1:21" ht="14.25" customHeight="1">
      <c r="A30" s="1028"/>
      <c r="B30" s="1027"/>
      <c r="C30" s="174" t="s">
        <v>177</v>
      </c>
      <c r="D30" s="161">
        <v>425000</v>
      </c>
      <c r="E30" s="987">
        <v>255000</v>
      </c>
      <c r="F30" s="988"/>
      <c r="G30" s="989"/>
      <c r="H30" s="986"/>
      <c r="I30" s="986"/>
      <c r="J30" s="986"/>
      <c r="K30" s="996">
        <f>E30</f>
        <v>255000</v>
      </c>
      <c r="L30" s="996"/>
      <c r="M30" s="996"/>
      <c r="N30" s="983"/>
      <c r="O30" s="474"/>
      <c r="P30" s="575"/>
      <c r="Q30" s="365"/>
    </row>
    <row r="31" spans="1:21" ht="14.25" customHeight="1">
      <c r="A31" s="1028"/>
      <c r="B31" s="1027"/>
      <c r="C31" s="174" t="s">
        <v>116</v>
      </c>
      <c r="D31" s="161">
        <v>3527500</v>
      </c>
      <c r="E31" s="951">
        <v>3510000</v>
      </c>
      <c r="F31" s="984"/>
      <c r="G31" s="985"/>
      <c r="H31" s="986"/>
      <c r="I31" s="986"/>
      <c r="J31" s="986"/>
      <c r="K31" s="951">
        <f>E31</f>
        <v>3510000</v>
      </c>
      <c r="L31" s="952"/>
      <c r="M31" s="953"/>
      <c r="N31" s="162"/>
      <c r="O31" s="475"/>
      <c r="P31" s="575"/>
      <c r="Q31" s="365"/>
    </row>
    <row r="32" spans="1:21" ht="16.8" customHeight="1">
      <c r="A32" s="1029"/>
      <c r="B32" s="1030"/>
      <c r="C32" s="177" t="s">
        <v>101</v>
      </c>
      <c r="D32" s="161">
        <f>SUM(D24:D31)</f>
        <v>111477350</v>
      </c>
      <c r="E32" s="997">
        <f>E24+E25+E26+E27+E31</f>
        <v>32175670</v>
      </c>
      <c r="F32" s="998"/>
      <c r="G32" s="999"/>
      <c r="H32" s="986">
        <f>E32-D32</f>
        <v>-79301680</v>
      </c>
      <c r="I32" s="986"/>
      <c r="J32" s="986"/>
      <c r="K32" s="892">
        <f>K24+K25+K26+K27+K31</f>
        <v>32172710</v>
      </c>
      <c r="L32" s="892"/>
      <c r="M32" s="892"/>
      <c r="N32" s="162">
        <f>K32-E32</f>
        <v>-2960</v>
      </c>
      <c r="O32" s="476">
        <v>72760360</v>
      </c>
      <c r="P32" s="366"/>
      <c r="Q32" s="365"/>
      <c r="R32" s="575"/>
    </row>
    <row r="33" spans="1:42" ht="15" customHeight="1">
      <c r="A33" s="1047" t="s">
        <v>100</v>
      </c>
      <c r="B33" s="912"/>
      <c r="C33" s="912"/>
      <c r="D33" s="178">
        <f>SUM(D6,D7,D8,D9,D10,D11,D12,D16,D14,D13,D15,D17,D18,D23,D32)</f>
        <v>257759570</v>
      </c>
      <c r="E33" s="810">
        <f>E6+E7+E8+E9+E10+E11+E12+E13+E14+E15+E16+E17+E18+E23+E32</f>
        <v>178604610</v>
      </c>
      <c r="F33" s="1042"/>
      <c r="G33" s="1043"/>
      <c r="H33" s="986">
        <f>E33-D33</f>
        <v>-79154960</v>
      </c>
      <c r="I33" s="986"/>
      <c r="J33" s="986"/>
      <c r="K33" s="1040">
        <f>K6+K7+K8+K9+K10+K11+K12+K16+K14+K13+K15+K17+K18+K23+K32</f>
        <v>178596310</v>
      </c>
      <c r="L33" s="1040"/>
      <c r="M33" s="1040"/>
      <c r="N33" s="162">
        <f>N6+N7+N8+N9+N10+N11+N12+N13+N14+N15+N16+N17+N18+N23+N32</f>
        <v>-8300</v>
      </c>
      <c r="O33" s="179"/>
      <c r="P33" s="368"/>
      <c r="Q33" s="365"/>
      <c r="R33" s="575"/>
    </row>
    <row r="34" spans="1:42" ht="5.25" customHeight="1">
      <c r="AD34" s="408"/>
      <c r="AE34" s="408"/>
      <c r="AI34" s="143"/>
      <c r="AJ34" s="143"/>
      <c r="AK34" s="143"/>
      <c r="AL34" s="143"/>
      <c r="AM34" s="143"/>
      <c r="AN34" s="143"/>
      <c r="AO34" s="143"/>
      <c r="AP34" s="143"/>
    </row>
    <row r="35" spans="1:42" ht="14.25" customHeight="1">
      <c r="A35" s="1050" t="s">
        <v>178</v>
      </c>
      <c r="B35" s="1050"/>
      <c r="C35" s="1050"/>
      <c r="D35" s="1050"/>
      <c r="E35" s="145"/>
      <c r="F35" s="145"/>
      <c r="G35" s="145"/>
      <c r="H35" s="145"/>
      <c r="I35" s="147"/>
      <c r="J35" s="147"/>
      <c r="K35" s="147"/>
      <c r="L35" s="147"/>
      <c r="M35" s="147"/>
      <c r="N35" s="147"/>
      <c r="O35" s="147"/>
      <c r="P35" s="649"/>
      <c r="Q35" s="649"/>
      <c r="R35" s="649"/>
      <c r="S35" s="649"/>
      <c r="T35" s="649"/>
      <c r="U35" s="649"/>
      <c r="V35" s="649"/>
      <c r="W35" s="649"/>
      <c r="X35" s="369"/>
      <c r="Y35" s="369"/>
      <c r="Z35" s="369"/>
      <c r="AA35" s="369"/>
      <c r="AB35" s="409"/>
      <c r="AI35" s="143"/>
      <c r="AJ35" s="143"/>
      <c r="AK35" s="143"/>
      <c r="AL35" s="143"/>
      <c r="AM35" s="143"/>
      <c r="AN35" s="143"/>
      <c r="AO35" s="143"/>
      <c r="AP35" s="143"/>
    </row>
    <row r="36" spans="1:42" ht="14.25" customHeight="1">
      <c r="A36" s="1057" t="s">
        <v>99</v>
      </c>
      <c r="B36" s="1057"/>
      <c r="C36" s="1057"/>
      <c r="D36" s="180" t="s">
        <v>179</v>
      </c>
      <c r="E36" s="180"/>
      <c r="F36" s="180"/>
      <c r="G36" s="180"/>
      <c r="H36" s="180"/>
      <c r="I36" s="180"/>
      <c r="J36" s="180"/>
      <c r="K36" s="180"/>
      <c r="M36" s="1052">
        <f>A60+A61</f>
        <v>30349040</v>
      </c>
      <c r="N36" s="1052"/>
      <c r="O36" s="464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410"/>
      <c r="AI36" s="143"/>
      <c r="AJ36" s="143"/>
      <c r="AK36" s="143"/>
      <c r="AL36" s="143"/>
      <c r="AM36" s="143"/>
      <c r="AN36" s="143"/>
      <c r="AO36" s="143"/>
      <c r="AP36" s="143"/>
    </row>
    <row r="37" spans="1:42" ht="3.75" customHeight="1">
      <c r="A37" s="1056"/>
      <c r="B37" s="1056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463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411"/>
      <c r="AD37" s="412"/>
      <c r="AE37" s="412"/>
      <c r="AF37" s="412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</row>
    <row r="38" spans="1:42" s="157" customFormat="1" ht="14.25" customHeight="1" thickBot="1">
      <c r="A38" s="882" t="s">
        <v>180</v>
      </c>
      <c r="B38" s="882"/>
      <c r="C38" s="882"/>
      <c r="D38" s="182" t="s">
        <v>98</v>
      </c>
      <c r="E38" s="183" t="s">
        <v>127</v>
      </c>
      <c r="F38" s="182" t="s">
        <v>128</v>
      </c>
      <c r="G38" s="184" t="s">
        <v>181</v>
      </c>
      <c r="H38" s="185"/>
      <c r="I38" s="185"/>
      <c r="J38" s="185"/>
      <c r="K38" s="185"/>
      <c r="L38" s="185"/>
      <c r="M38" s="185"/>
      <c r="N38" s="186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403"/>
      <c r="AC38" s="403"/>
      <c r="AD38" s="413"/>
      <c r="AE38" s="413"/>
      <c r="AF38" s="413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</row>
    <row r="39" spans="1:42" ht="15" customHeight="1" thickTop="1">
      <c r="A39" s="1038" t="s">
        <v>182</v>
      </c>
      <c r="B39" s="1036" t="s">
        <v>97</v>
      </c>
      <c r="C39" s="1037"/>
      <c r="D39" s="187">
        <v>17123890</v>
      </c>
      <c r="E39" s="333">
        <v>1565290</v>
      </c>
      <c r="F39" s="333">
        <v>156530</v>
      </c>
      <c r="G39" s="334" t="s">
        <v>357</v>
      </c>
      <c r="H39" s="335"/>
      <c r="I39" s="335"/>
      <c r="J39" s="335"/>
      <c r="K39" s="335"/>
      <c r="L39" s="335"/>
      <c r="M39" s="335"/>
      <c r="N39" s="336"/>
      <c r="O39" s="465">
        <f>D39+E39</f>
        <v>18689180</v>
      </c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411"/>
      <c r="AD39" s="412"/>
      <c r="AE39" s="412"/>
      <c r="AF39" s="412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</row>
    <row r="40" spans="1:42" ht="15" customHeight="1">
      <c r="A40" s="1038"/>
      <c r="B40" s="1035" t="s">
        <v>183</v>
      </c>
      <c r="C40" s="1035"/>
      <c r="D40" s="188">
        <v>3283260</v>
      </c>
      <c r="E40" s="337">
        <v>300120</v>
      </c>
      <c r="F40" s="189">
        <v>30010</v>
      </c>
      <c r="G40" s="714" t="s">
        <v>780</v>
      </c>
      <c r="H40" s="191"/>
      <c r="I40" s="191"/>
      <c r="J40" s="191"/>
      <c r="K40" s="191"/>
      <c r="L40" s="191"/>
      <c r="M40" s="191"/>
      <c r="N40" s="192"/>
      <c r="O40" s="465">
        <f t="shared" ref="O40:O45" si="2">D40+E40</f>
        <v>3583380</v>
      </c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411"/>
      <c r="AD40" s="412"/>
      <c r="AE40" s="412"/>
      <c r="AF40" s="412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</row>
    <row r="41" spans="1:42" ht="15" customHeight="1">
      <c r="A41" s="1039"/>
      <c r="B41" s="1035" t="s">
        <v>184</v>
      </c>
      <c r="C41" s="1035"/>
      <c r="D41" s="188">
        <v>1654740</v>
      </c>
      <c r="E41" s="337">
        <v>151260</v>
      </c>
      <c r="F41" s="189">
        <v>15130</v>
      </c>
      <c r="G41" s="190" t="s">
        <v>358</v>
      </c>
      <c r="H41" s="191"/>
      <c r="I41" s="191"/>
      <c r="J41" s="191"/>
      <c r="K41" s="191"/>
      <c r="L41" s="191"/>
      <c r="M41" s="191"/>
      <c r="N41" s="192"/>
      <c r="O41" s="465">
        <f t="shared" si="2"/>
        <v>1806000</v>
      </c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411"/>
      <c r="AD41" s="412"/>
      <c r="AE41" s="412"/>
      <c r="AF41" s="412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ht="15" customHeight="1">
      <c r="A42" s="1053" t="s">
        <v>290</v>
      </c>
      <c r="B42" s="1041" t="s">
        <v>332</v>
      </c>
      <c r="C42" s="1041"/>
      <c r="D42" s="188">
        <v>1914960</v>
      </c>
      <c r="E42" s="337">
        <v>175040</v>
      </c>
      <c r="F42" s="189">
        <v>17500</v>
      </c>
      <c r="G42" s="190" t="s">
        <v>429</v>
      </c>
      <c r="H42" s="191"/>
      <c r="I42" s="191"/>
      <c r="J42" s="191"/>
      <c r="K42" s="191"/>
      <c r="L42" s="191"/>
      <c r="M42" s="191"/>
      <c r="N42" s="192"/>
      <c r="O42" s="465">
        <f t="shared" si="2"/>
        <v>2090000</v>
      </c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411"/>
      <c r="AD42" s="412"/>
      <c r="AE42" s="412"/>
      <c r="AF42" s="412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</row>
    <row r="43" spans="1:42" ht="15" customHeight="1">
      <c r="A43" s="1054"/>
      <c r="B43" s="834" t="s">
        <v>185</v>
      </c>
      <c r="C43" s="1032"/>
      <c r="D43" s="188">
        <v>792930</v>
      </c>
      <c r="E43" s="337">
        <v>72480</v>
      </c>
      <c r="F43" s="189">
        <v>7240</v>
      </c>
      <c r="G43" s="190" t="s">
        <v>359</v>
      </c>
      <c r="H43" s="191"/>
      <c r="I43" s="191"/>
      <c r="J43" s="191"/>
      <c r="K43" s="191"/>
      <c r="L43" s="191"/>
      <c r="M43" s="191"/>
      <c r="N43" s="192"/>
      <c r="O43" s="465">
        <f t="shared" si="2"/>
        <v>865410</v>
      </c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411"/>
      <c r="AD43" s="412" t="s">
        <v>186</v>
      </c>
      <c r="AE43" s="412" t="s">
        <v>187</v>
      </c>
      <c r="AF43" s="412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</row>
    <row r="44" spans="1:42" ht="15" customHeight="1">
      <c r="A44" s="1054"/>
      <c r="B44" s="834" t="s">
        <v>188</v>
      </c>
      <c r="C44" s="1032"/>
      <c r="D44" s="188">
        <v>654870</v>
      </c>
      <c r="E44" s="337">
        <v>59860</v>
      </c>
      <c r="F44" s="189">
        <v>5990</v>
      </c>
      <c r="G44" s="190" t="s">
        <v>356</v>
      </c>
      <c r="H44" s="191"/>
      <c r="I44" s="191"/>
      <c r="J44" s="191"/>
      <c r="K44" s="191"/>
      <c r="L44" s="191"/>
      <c r="M44" s="191"/>
      <c r="N44" s="192"/>
      <c r="O44" s="465">
        <f t="shared" si="2"/>
        <v>714730</v>
      </c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411"/>
      <c r="AD44" s="412" t="s">
        <v>189</v>
      </c>
      <c r="AE44" s="412" t="s">
        <v>190</v>
      </c>
      <c r="AF44" s="412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2" ht="15" customHeight="1">
      <c r="A45" s="1055"/>
      <c r="B45" s="1033" t="s">
        <v>191</v>
      </c>
      <c r="C45" s="1034"/>
      <c r="D45" s="188">
        <v>553850</v>
      </c>
      <c r="E45" s="337">
        <v>50620</v>
      </c>
      <c r="F45" s="189">
        <v>5060</v>
      </c>
      <c r="G45" s="190" t="s">
        <v>360</v>
      </c>
      <c r="H45" s="191"/>
      <c r="I45" s="191"/>
      <c r="J45" s="191"/>
      <c r="K45" s="191"/>
      <c r="L45" s="191"/>
      <c r="M45" s="191"/>
      <c r="N45" s="192"/>
      <c r="O45" s="465">
        <f t="shared" si="2"/>
        <v>604470</v>
      </c>
      <c r="P45" s="372">
        <f>SUM(F39:F45)</f>
        <v>237460</v>
      </c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411"/>
      <c r="AD45" s="412"/>
      <c r="AE45" s="412"/>
      <c r="AF45" s="412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</row>
    <row r="46" spans="1:42" ht="15" customHeight="1">
      <c r="A46" s="1044" t="s">
        <v>192</v>
      </c>
      <c r="B46" s="1045"/>
      <c r="C46" s="1046"/>
      <c r="D46" s="188">
        <f>SUM(D39:D45)</f>
        <v>25978500</v>
      </c>
      <c r="E46" s="337">
        <f>SUM(E39:E45)</f>
        <v>2374670</v>
      </c>
      <c r="F46" s="189">
        <f>SUM(F39:F45)</f>
        <v>237460</v>
      </c>
      <c r="G46" s="1017"/>
      <c r="H46" s="1018"/>
      <c r="I46" s="1018"/>
      <c r="J46" s="1018"/>
      <c r="K46" s="1018"/>
      <c r="L46" s="1018"/>
      <c r="M46" s="1018"/>
      <c r="N46" s="1019"/>
      <c r="O46" s="477">
        <f>SUM(O39:O45)</f>
        <v>28353170</v>
      </c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411"/>
      <c r="AD46" s="412"/>
      <c r="AE46" s="412"/>
      <c r="AF46" s="412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</row>
    <row r="47" spans="1:42" ht="15" customHeight="1">
      <c r="A47" s="1051" t="s">
        <v>193</v>
      </c>
      <c r="B47" s="1051"/>
      <c r="C47" s="1051"/>
      <c r="D47" s="188">
        <v>20000</v>
      </c>
      <c r="E47" s="337"/>
      <c r="F47" s="193"/>
      <c r="G47" s="190" t="s">
        <v>194</v>
      </c>
      <c r="H47" s="191"/>
      <c r="I47" s="191"/>
      <c r="J47" s="191"/>
      <c r="K47" s="191"/>
      <c r="L47" s="191"/>
      <c r="M47" s="191"/>
      <c r="N47" s="192"/>
      <c r="O47" s="463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411"/>
      <c r="AD47" s="412"/>
      <c r="AE47" s="412"/>
      <c r="AF47" s="412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</row>
    <row r="48" spans="1:42" ht="15" customHeight="1">
      <c r="A48" s="788" t="s">
        <v>195</v>
      </c>
      <c r="B48" s="788"/>
      <c r="C48" s="788"/>
      <c r="D48" s="188">
        <v>177360</v>
      </c>
      <c r="E48" s="337"/>
      <c r="F48" s="193"/>
      <c r="G48" s="190" t="s">
        <v>361</v>
      </c>
      <c r="H48" s="191"/>
      <c r="I48" s="191"/>
      <c r="J48" s="191"/>
      <c r="K48" s="191"/>
      <c r="L48" s="191"/>
      <c r="M48" s="191"/>
      <c r="N48" s="192"/>
      <c r="O48" s="463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411"/>
      <c r="AD48" s="412"/>
      <c r="AE48" s="412"/>
      <c r="AF48" s="412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</row>
    <row r="49" spans="1:42" ht="15" customHeight="1">
      <c r="A49" s="788" t="s">
        <v>196</v>
      </c>
      <c r="B49" s="788"/>
      <c r="C49" s="788"/>
      <c r="D49" s="188">
        <v>7440</v>
      </c>
      <c r="E49" s="337"/>
      <c r="F49" s="193"/>
      <c r="G49" s="190" t="s">
        <v>328</v>
      </c>
      <c r="I49" s="191"/>
      <c r="J49" s="191"/>
      <c r="K49" s="191"/>
      <c r="L49" s="191"/>
      <c r="M49" s="191"/>
      <c r="N49" s="192"/>
      <c r="O49" s="463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411"/>
      <c r="AD49" s="412"/>
      <c r="AE49" s="412"/>
      <c r="AF49" s="412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</row>
    <row r="50" spans="1:42" ht="15" customHeight="1">
      <c r="A50" s="788" t="s">
        <v>197</v>
      </c>
      <c r="B50" s="788"/>
      <c r="C50" s="788"/>
      <c r="D50" s="188">
        <v>571500</v>
      </c>
      <c r="E50" s="337"/>
      <c r="F50" s="194"/>
      <c r="G50" s="785" t="s">
        <v>426</v>
      </c>
      <c r="H50" s="786"/>
      <c r="I50" s="786"/>
      <c r="J50" s="786"/>
      <c r="K50" s="786"/>
      <c r="L50" s="786"/>
      <c r="M50" s="786"/>
      <c r="N50" s="787"/>
      <c r="O50" s="478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414"/>
      <c r="AD50" s="412"/>
      <c r="AE50" s="412"/>
      <c r="AF50" s="412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ht="15" customHeight="1">
      <c r="A51" s="971" t="s">
        <v>198</v>
      </c>
      <c r="B51" s="972"/>
      <c r="C51" s="973"/>
      <c r="D51" s="188">
        <f>249820</f>
        <v>249820</v>
      </c>
      <c r="E51" s="337"/>
      <c r="F51" s="195"/>
      <c r="G51" s="785" t="s">
        <v>427</v>
      </c>
      <c r="H51" s="786"/>
      <c r="I51" s="786"/>
      <c r="J51" s="786"/>
      <c r="K51" s="786"/>
      <c r="L51" s="786"/>
      <c r="M51" s="786"/>
      <c r="N51" s="787"/>
      <c r="O51" s="479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415"/>
      <c r="AD51" s="412"/>
      <c r="AE51" s="412"/>
      <c r="AF51" s="412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</row>
    <row r="52" spans="1:42" ht="15" customHeight="1">
      <c r="A52" s="788" t="s">
        <v>199</v>
      </c>
      <c r="B52" s="788"/>
      <c r="C52" s="788"/>
      <c r="D52" s="188">
        <f>720+2240</f>
        <v>2960</v>
      </c>
      <c r="E52" s="337"/>
      <c r="F52" s="193"/>
      <c r="G52" s="785" t="s">
        <v>708</v>
      </c>
      <c r="H52" s="786"/>
      <c r="I52" s="786"/>
      <c r="J52" s="786"/>
      <c r="K52" s="786"/>
      <c r="L52" s="786"/>
      <c r="M52" s="786"/>
      <c r="N52" s="787"/>
      <c r="O52" s="463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411"/>
      <c r="AD52" s="412"/>
      <c r="AE52" s="412"/>
      <c r="AF52" s="412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</row>
    <row r="53" spans="1:42" ht="15" customHeight="1">
      <c r="A53" s="788" t="s">
        <v>200</v>
      </c>
      <c r="B53" s="788"/>
      <c r="C53" s="788"/>
      <c r="D53" s="188">
        <v>112300</v>
      </c>
      <c r="E53" s="337"/>
      <c r="F53" s="194"/>
      <c r="G53" s="785" t="s">
        <v>711</v>
      </c>
      <c r="H53" s="786"/>
      <c r="I53" s="786"/>
      <c r="J53" s="786"/>
      <c r="K53" s="786"/>
      <c r="L53" s="786"/>
      <c r="M53" s="786"/>
      <c r="N53" s="787"/>
      <c r="O53" s="478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414"/>
      <c r="AD53" s="412"/>
      <c r="AE53" s="412"/>
      <c r="AF53" s="412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</row>
    <row r="54" spans="1:42" s="497" customFormat="1" ht="15" customHeight="1">
      <c r="A54" s="788" t="s">
        <v>405</v>
      </c>
      <c r="B54" s="788"/>
      <c r="C54" s="788"/>
      <c r="D54" s="188">
        <v>77340</v>
      </c>
      <c r="E54" s="337"/>
      <c r="F54" s="194"/>
      <c r="G54" s="785" t="s">
        <v>408</v>
      </c>
      <c r="H54" s="786"/>
      <c r="I54" s="786"/>
      <c r="J54" s="786"/>
      <c r="K54" s="786"/>
      <c r="L54" s="786"/>
      <c r="M54" s="786"/>
      <c r="N54" s="787"/>
      <c r="O54" s="478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414"/>
      <c r="AC54" s="401"/>
      <c r="AD54" s="412"/>
      <c r="AE54" s="412"/>
      <c r="AF54" s="412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</row>
    <row r="55" spans="1:42" s="704" customFormat="1" ht="15" customHeight="1">
      <c r="A55" s="788" t="s">
        <v>724</v>
      </c>
      <c r="B55" s="788"/>
      <c r="C55" s="788"/>
      <c r="D55" s="188">
        <v>275000</v>
      </c>
      <c r="E55" s="337"/>
      <c r="F55" s="194"/>
      <c r="G55" s="701"/>
      <c r="H55" s="702"/>
      <c r="I55" s="702"/>
      <c r="J55" s="702"/>
      <c r="K55" s="702"/>
      <c r="L55" s="702"/>
      <c r="M55" s="702"/>
      <c r="N55" s="703"/>
      <c r="O55" s="705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414"/>
      <c r="AC55" s="401"/>
      <c r="AD55" s="412"/>
      <c r="AE55" s="412"/>
      <c r="AF55" s="412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1:42" s="567" customFormat="1" ht="15" customHeight="1">
      <c r="A56" s="886" t="s">
        <v>430</v>
      </c>
      <c r="B56" s="887"/>
      <c r="C56" s="888"/>
      <c r="D56" s="188">
        <v>38000</v>
      </c>
      <c r="E56" s="337"/>
      <c r="F56" s="194"/>
      <c r="G56" s="785" t="s">
        <v>709</v>
      </c>
      <c r="H56" s="786"/>
      <c r="I56" s="786"/>
      <c r="J56" s="786"/>
      <c r="K56" s="786"/>
      <c r="L56" s="786"/>
      <c r="M56" s="786"/>
      <c r="N56" s="787"/>
      <c r="O56" s="478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414"/>
      <c r="AC56" s="401"/>
      <c r="AD56" s="412"/>
      <c r="AE56" s="412"/>
      <c r="AF56" s="412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1:42" ht="15" customHeight="1">
      <c r="A57" s="886" t="s">
        <v>201</v>
      </c>
      <c r="B57" s="887"/>
      <c r="C57" s="888"/>
      <c r="D57" s="188">
        <v>226690</v>
      </c>
      <c r="E57" s="337"/>
      <c r="F57" s="194"/>
      <c r="G57" s="785" t="s">
        <v>710</v>
      </c>
      <c r="H57" s="786"/>
      <c r="I57" s="786"/>
      <c r="J57" s="786"/>
      <c r="K57" s="786"/>
      <c r="L57" s="786"/>
      <c r="M57" s="786"/>
      <c r="N57" s="787"/>
      <c r="O57" s="478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414"/>
      <c r="AD57" s="412"/>
      <c r="AE57" s="412"/>
      <c r="AF57" s="412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</row>
    <row r="58" spans="1:42" ht="15.75" customHeight="1">
      <c r="A58" s="968" t="s">
        <v>202</v>
      </c>
      <c r="B58" s="969"/>
      <c r="C58" s="969"/>
      <c r="D58" s="188">
        <f>SUM(D39:D57)-D46</f>
        <v>27736910</v>
      </c>
      <c r="E58" s="189">
        <f>SUM(E39:E57)-E46</f>
        <v>2374670</v>
      </c>
      <c r="F58" s="189">
        <f>SUM(F39:F57)-F46</f>
        <v>237460</v>
      </c>
      <c r="G58" s="1048"/>
      <c r="H58" s="1048"/>
      <c r="I58" s="1048"/>
      <c r="J58" s="1048"/>
      <c r="K58" s="1048"/>
      <c r="L58" s="1048"/>
      <c r="M58" s="1048"/>
      <c r="N58" s="1049"/>
      <c r="O58" s="480">
        <f>D58+E58+F58</f>
        <v>30349040</v>
      </c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416"/>
      <c r="AD58" s="412"/>
      <c r="AE58" s="412"/>
      <c r="AF58" s="412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</row>
    <row r="59" spans="1:42" ht="21.6" customHeight="1">
      <c r="A59" s="970" t="s">
        <v>203</v>
      </c>
      <c r="B59" s="970"/>
      <c r="C59" s="970"/>
      <c r="D59" s="970"/>
      <c r="E59" s="970"/>
      <c r="F59" s="970"/>
      <c r="G59" s="970"/>
      <c r="H59" s="197"/>
      <c r="I59" s="157"/>
      <c r="J59" s="181"/>
      <c r="K59" s="181"/>
      <c r="L59" s="157"/>
      <c r="M59" s="157"/>
      <c r="N59" s="157"/>
      <c r="O59" s="157"/>
      <c r="X59" s="399"/>
      <c r="Y59" s="399"/>
      <c r="Z59" s="399"/>
      <c r="AA59" s="399"/>
      <c r="AB59" s="403"/>
      <c r="AD59" s="412"/>
      <c r="AE59" s="412"/>
      <c r="AF59" s="412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1:42" ht="18" customHeight="1">
      <c r="A60" s="925">
        <f>D58</f>
        <v>27736910</v>
      </c>
      <c r="B60" s="925"/>
      <c r="C60" s="925"/>
      <c r="D60" s="198">
        <v>152435.78</v>
      </c>
      <c r="E60" s="199" t="s">
        <v>204</v>
      </c>
      <c r="F60" s="157" t="s">
        <v>205</v>
      </c>
      <c r="G60" s="926">
        <f>ROUND(A60/D60,2)</f>
        <v>181.96</v>
      </c>
      <c r="H60" s="926"/>
      <c r="I60" s="861"/>
      <c r="J60" s="861"/>
      <c r="K60" s="861"/>
      <c r="L60" s="861"/>
      <c r="M60" s="861"/>
      <c r="N60" s="861"/>
      <c r="O60" s="460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417"/>
      <c r="AD60" s="412"/>
      <c r="AE60" s="412"/>
      <c r="AF60" s="412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</row>
    <row r="61" spans="1:42" ht="18" customHeight="1">
      <c r="A61" s="833">
        <f>E58+F58</f>
        <v>2612130</v>
      </c>
      <c r="B61" s="833"/>
      <c r="C61" s="833"/>
      <c r="D61" s="201">
        <v>13934.22</v>
      </c>
      <c r="E61" s="202" t="s">
        <v>206</v>
      </c>
      <c r="F61" s="157" t="s">
        <v>207</v>
      </c>
      <c r="G61" s="926">
        <f>ROUND(A61/D61,2)</f>
        <v>187.46</v>
      </c>
      <c r="H61" s="926"/>
      <c r="I61" s="200"/>
      <c r="J61" s="200"/>
      <c r="K61" s="200"/>
      <c r="L61" s="200"/>
      <c r="M61" s="200"/>
      <c r="N61" s="200"/>
      <c r="O61" s="460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417"/>
      <c r="AD61" s="412"/>
      <c r="AE61" s="412"/>
      <c r="AF61" s="412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</row>
    <row r="62" spans="1:42" ht="15" customHeight="1">
      <c r="A62" s="927" t="s">
        <v>208</v>
      </c>
      <c r="B62" s="927"/>
      <c r="C62" s="203" t="s">
        <v>209</v>
      </c>
      <c r="D62" s="204" t="s">
        <v>210</v>
      </c>
      <c r="E62" s="831" t="s">
        <v>211</v>
      </c>
      <c r="F62" s="831"/>
      <c r="G62" s="831"/>
      <c r="H62" s="824" t="s">
        <v>212</v>
      </c>
      <c r="I62" s="924"/>
      <c r="J62" s="924"/>
      <c r="K62" s="924"/>
      <c r="L62" s="825"/>
      <c r="M62" s="831" t="s">
        <v>213</v>
      </c>
      <c r="N62" s="831"/>
      <c r="O62" s="481"/>
      <c r="P62" s="377"/>
      <c r="Q62" s="377"/>
      <c r="X62" s="399"/>
      <c r="Y62" s="399"/>
      <c r="Z62" s="399"/>
      <c r="AA62" s="399"/>
      <c r="AB62" s="403"/>
      <c r="AC62" s="406"/>
      <c r="AD62" s="418"/>
      <c r="AE62" s="412"/>
      <c r="AF62" s="412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</row>
    <row r="63" spans="1:42" ht="15" customHeight="1">
      <c r="A63" s="790">
        <v>79.319999999999993</v>
      </c>
      <c r="B63" s="790"/>
      <c r="C63" s="205">
        <v>258</v>
      </c>
      <c r="D63" s="936">
        <f>G60</f>
        <v>181.96</v>
      </c>
      <c r="E63" s="817">
        <f>ROUND(A63*$D$63,-1)</f>
        <v>14430</v>
      </c>
      <c r="F63" s="817"/>
      <c r="G63" s="817"/>
      <c r="H63" s="836">
        <f t="shared" ref="H63:H69" si="3">ROUND(E63*C63,0)</f>
        <v>3722940</v>
      </c>
      <c r="I63" s="837"/>
      <c r="J63" s="837"/>
      <c r="K63" s="837"/>
      <c r="L63" s="838"/>
      <c r="M63" s="206"/>
      <c r="N63" s="207"/>
      <c r="O63" s="482"/>
      <c r="P63" s="378"/>
      <c r="Q63" s="378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419"/>
      <c r="AC63" s="420"/>
      <c r="AD63" s="421"/>
      <c r="AE63" s="422"/>
      <c r="AF63" s="412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</row>
    <row r="64" spans="1:42" ht="15" customHeight="1">
      <c r="A64" s="790">
        <v>92.54</v>
      </c>
      <c r="B64" s="790"/>
      <c r="C64" s="205">
        <v>196</v>
      </c>
      <c r="D64" s="821"/>
      <c r="E64" s="817">
        <f>ROUND(A64*$D$63,-1)</f>
        <v>16840</v>
      </c>
      <c r="F64" s="817"/>
      <c r="G64" s="817"/>
      <c r="H64" s="836">
        <f t="shared" si="3"/>
        <v>3300640</v>
      </c>
      <c r="I64" s="837"/>
      <c r="J64" s="837"/>
      <c r="K64" s="837"/>
      <c r="L64" s="838"/>
      <c r="M64" s="206"/>
      <c r="N64" s="207"/>
      <c r="O64" s="482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419"/>
      <c r="AC64" s="420"/>
      <c r="AD64" s="421"/>
      <c r="AE64" s="422"/>
      <c r="AF64" s="412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</row>
    <row r="65" spans="1:42" ht="15" customHeight="1">
      <c r="A65" s="790">
        <v>109.07</v>
      </c>
      <c r="B65" s="790"/>
      <c r="C65" s="205">
        <v>815</v>
      </c>
      <c r="D65" s="821"/>
      <c r="E65" s="817">
        <f>ROUND(A65*$D$63,-1)</f>
        <v>19850</v>
      </c>
      <c r="F65" s="817"/>
      <c r="G65" s="817"/>
      <c r="H65" s="836">
        <f t="shared" si="3"/>
        <v>16177750</v>
      </c>
      <c r="I65" s="837"/>
      <c r="J65" s="837"/>
      <c r="K65" s="837"/>
      <c r="L65" s="838"/>
      <c r="M65" s="209"/>
      <c r="N65" s="207"/>
      <c r="O65" s="482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419"/>
      <c r="AC65" s="420"/>
      <c r="AD65" s="421"/>
      <c r="AE65" s="422"/>
      <c r="AF65" s="412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</row>
    <row r="66" spans="1:42" ht="15" customHeight="1">
      <c r="A66" s="790">
        <v>128.9</v>
      </c>
      <c r="B66" s="790"/>
      <c r="C66" s="205">
        <v>68</v>
      </c>
      <c r="D66" s="821"/>
      <c r="E66" s="817">
        <f>ROUND(A66*$D$63,-1)</f>
        <v>23450</v>
      </c>
      <c r="F66" s="817"/>
      <c r="G66" s="817"/>
      <c r="H66" s="836">
        <f t="shared" si="3"/>
        <v>1594600</v>
      </c>
      <c r="I66" s="837"/>
      <c r="J66" s="837"/>
      <c r="K66" s="837"/>
      <c r="L66" s="838"/>
      <c r="M66" s="209"/>
      <c r="N66" s="207"/>
      <c r="O66" s="482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419"/>
      <c r="AC66" s="420"/>
      <c r="AD66" s="421"/>
      <c r="AE66" s="422"/>
      <c r="AF66" s="412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</row>
    <row r="67" spans="1:42" ht="15" customHeight="1" thickBot="1">
      <c r="A67" s="919">
        <v>158.63999999999999</v>
      </c>
      <c r="B67" s="919"/>
      <c r="C67" s="210">
        <v>102</v>
      </c>
      <c r="D67" s="937"/>
      <c r="E67" s="921">
        <f>ROUND(A67*$D$63,-1)</f>
        <v>28870</v>
      </c>
      <c r="F67" s="921"/>
      <c r="G67" s="921"/>
      <c r="H67" s="939">
        <f t="shared" si="3"/>
        <v>2944740</v>
      </c>
      <c r="I67" s="940"/>
      <c r="J67" s="940"/>
      <c r="K67" s="940"/>
      <c r="L67" s="941"/>
      <c r="M67" s="211"/>
      <c r="N67" s="212"/>
      <c r="O67" s="482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419"/>
      <c r="AC67" s="420"/>
      <c r="AD67" s="421"/>
      <c r="AE67" s="422"/>
      <c r="AF67" s="418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</row>
    <row r="68" spans="1:42" ht="15" customHeight="1">
      <c r="A68" s="845">
        <v>188.39</v>
      </c>
      <c r="B68" s="845"/>
      <c r="C68" s="213">
        <v>34</v>
      </c>
      <c r="D68" s="821">
        <f>G61</f>
        <v>187.46</v>
      </c>
      <c r="E68" s="920">
        <f>ROUND(A68*$D$68,-1)</f>
        <v>35320</v>
      </c>
      <c r="F68" s="920"/>
      <c r="G68" s="920"/>
      <c r="H68" s="933">
        <f t="shared" si="3"/>
        <v>1200880</v>
      </c>
      <c r="I68" s="934"/>
      <c r="J68" s="934"/>
      <c r="K68" s="934"/>
      <c r="L68" s="935"/>
      <c r="M68" s="214"/>
      <c r="N68" s="215"/>
      <c r="O68" s="483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419"/>
      <c r="AC68" s="420"/>
      <c r="AD68" s="421"/>
      <c r="AE68" s="422"/>
      <c r="AF68" s="421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ht="15" customHeight="1">
      <c r="A69" s="790">
        <v>221.44</v>
      </c>
      <c r="B69" s="790"/>
      <c r="C69" s="205">
        <v>34</v>
      </c>
      <c r="D69" s="822"/>
      <c r="E69" s="817">
        <f>ROUND(A69*$D$68,-1)</f>
        <v>41510</v>
      </c>
      <c r="F69" s="817"/>
      <c r="G69" s="817"/>
      <c r="H69" s="836">
        <f t="shared" si="3"/>
        <v>1411340</v>
      </c>
      <c r="I69" s="837"/>
      <c r="J69" s="837"/>
      <c r="K69" s="837"/>
      <c r="L69" s="838"/>
      <c r="M69" s="214"/>
      <c r="N69" s="215"/>
      <c r="O69" s="483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419"/>
      <c r="AC69" s="420"/>
      <c r="AD69" s="421"/>
      <c r="AE69" s="422"/>
      <c r="AF69" s="421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</row>
    <row r="70" spans="1:42" ht="15" customHeight="1">
      <c r="A70" s="912" t="s">
        <v>214</v>
      </c>
      <c r="B70" s="912"/>
      <c r="C70" s="216">
        <f>SUM(C63:C69)</f>
        <v>1507</v>
      </c>
      <c r="D70" s="217"/>
      <c r="E70" s="817"/>
      <c r="F70" s="817"/>
      <c r="G70" s="817"/>
      <c r="H70" s="857">
        <f>SUM(H63:H69)</f>
        <v>30352890</v>
      </c>
      <c r="I70" s="858"/>
      <c r="J70" s="858"/>
      <c r="K70" s="858"/>
      <c r="L70" s="859"/>
      <c r="M70" s="218" t="s">
        <v>215</v>
      </c>
      <c r="N70" s="219">
        <f>H70-A60-A61</f>
        <v>3850</v>
      </c>
      <c r="O70" s="484"/>
      <c r="P70" s="575"/>
      <c r="Q70" s="575"/>
      <c r="R70" s="575"/>
      <c r="S70" s="575"/>
      <c r="T70" s="575"/>
      <c r="U70" s="575"/>
      <c r="V70" s="575"/>
      <c r="W70" s="575"/>
      <c r="X70" s="396"/>
      <c r="Y70" s="396"/>
      <c r="Z70" s="396"/>
      <c r="AA70" s="396"/>
      <c r="AB70" s="405"/>
      <c r="AD70" s="421"/>
      <c r="AE70" s="423"/>
      <c r="AF70" s="421"/>
      <c r="AG70" s="208">
        <f>AC62-AF70</f>
        <v>0</v>
      </c>
      <c r="AH70" s="143"/>
      <c r="AI70" s="143"/>
      <c r="AJ70" s="143"/>
      <c r="AK70" s="143"/>
      <c r="AL70" s="143"/>
      <c r="AM70" s="143"/>
      <c r="AN70" s="143"/>
      <c r="AO70" s="143"/>
      <c r="AP70" s="143"/>
    </row>
    <row r="71" spans="1:42" ht="11.25" customHeight="1">
      <c r="A71" s="922" t="s">
        <v>777</v>
      </c>
      <c r="B71" s="922"/>
      <c r="C71" s="922"/>
      <c r="D71" s="922"/>
      <c r="E71" s="922"/>
      <c r="F71" s="922"/>
      <c r="G71" s="922"/>
      <c r="H71" s="922"/>
      <c r="I71" s="922"/>
      <c r="J71" s="922"/>
      <c r="K71" s="922"/>
      <c r="L71" s="922"/>
      <c r="M71" s="922"/>
      <c r="N71" s="922"/>
      <c r="O71" s="284"/>
      <c r="P71" s="575"/>
      <c r="Q71" s="575"/>
      <c r="R71" s="575"/>
      <c r="S71" s="575"/>
      <c r="T71" s="575"/>
      <c r="U71" s="575"/>
      <c r="V71" s="575"/>
      <c r="W71" s="575"/>
      <c r="X71" s="396"/>
      <c r="Y71" s="396"/>
      <c r="Z71" s="396"/>
      <c r="AA71" s="396"/>
      <c r="AB71" s="405"/>
      <c r="AD71" s="412"/>
      <c r="AE71" s="412"/>
      <c r="AF71" s="421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</row>
    <row r="72" spans="1:42">
      <c r="A72" s="220" t="s">
        <v>216</v>
      </c>
      <c r="B72" s="220"/>
      <c r="C72" s="220"/>
      <c r="D72" s="180" t="s">
        <v>217</v>
      </c>
      <c r="E72" s="180"/>
      <c r="F72" s="1031" t="s">
        <v>96</v>
      </c>
      <c r="G72" s="1031"/>
      <c r="H72" s="1031"/>
      <c r="I72" s="1031"/>
      <c r="J72" s="1031"/>
      <c r="K72" s="1031"/>
      <c r="L72" s="1031"/>
      <c r="M72" s="867">
        <f>D75</f>
        <v>24724350</v>
      </c>
      <c r="N72" s="867"/>
      <c r="O72" s="459"/>
      <c r="P72" s="379" t="s">
        <v>218</v>
      </c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424"/>
      <c r="AC72" s="401" t="s">
        <v>219</v>
      </c>
      <c r="AD72" s="425">
        <f>M72-AD73</f>
        <v>-20034690</v>
      </c>
      <c r="AE72" s="412"/>
      <c r="AF72" s="421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</row>
    <row r="73" spans="1:42" s="225" customFormat="1" ht="13.5" customHeight="1">
      <c r="A73" s="150" t="s">
        <v>220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383" t="s">
        <v>221</v>
      </c>
      <c r="Q73" s="383"/>
      <c r="R73" s="383"/>
      <c r="S73" s="383"/>
      <c r="T73" s="383"/>
      <c r="U73" s="383"/>
      <c r="V73" s="383"/>
      <c r="W73" s="383"/>
      <c r="X73" s="380"/>
      <c r="Y73" s="380"/>
      <c r="Z73" s="380"/>
      <c r="AA73" s="380"/>
      <c r="AB73" s="426"/>
      <c r="AC73" s="401" t="s">
        <v>222</v>
      </c>
      <c r="AD73" s="427">
        <v>44759040</v>
      </c>
      <c r="AE73" s="428"/>
      <c r="AF73" s="421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</row>
    <row r="74" spans="1:42" s="225" customFormat="1" ht="15.75" customHeight="1" thickBot="1">
      <c r="A74" s="883" t="s">
        <v>223</v>
      </c>
      <c r="B74" s="883"/>
      <c r="C74" s="883"/>
      <c r="D74" s="883" t="s">
        <v>224</v>
      </c>
      <c r="E74" s="883"/>
      <c r="F74" s="883"/>
      <c r="G74" s="883" t="s">
        <v>225</v>
      </c>
      <c r="H74" s="883"/>
      <c r="I74" s="883"/>
      <c r="J74" s="883"/>
      <c r="K74" s="883"/>
      <c r="L74" s="883"/>
      <c r="M74" s="883"/>
      <c r="N74" s="883"/>
      <c r="O74" s="46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429"/>
      <c r="AC74" s="430"/>
      <c r="AD74" s="428"/>
      <c r="AE74" s="428"/>
      <c r="AF74" s="421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</row>
    <row r="75" spans="1:42" s="225" customFormat="1" ht="15.75" customHeight="1" thickTop="1">
      <c r="A75" s="885" t="s">
        <v>226</v>
      </c>
      <c r="B75" s="885"/>
      <c r="C75" s="885"/>
      <c r="D75" s="914">
        <f>A78+A79</f>
        <v>24724350</v>
      </c>
      <c r="E75" s="914"/>
      <c r="F75" s="914"/>
      <c r="G75" s="974" t="s">
        <v>399</v>
      </c>
      <c r="H75" s="975"/>
      <c r="I75" s="975"/>
      <c r="J75" s="975"/>
      <c r="K75" s="975"/>
      <c r="L75" s="975"/>
      <c r="M75" s="975"/>
      <c r="N75" s="976"/>
      <c r="O75" s="226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431"/>
      <c r="AC75" s="430"/>
      <c r="AD75" s="428"/>
      <c r="AE75" s="428"/>
      <c r="AF75" s="421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</row>
    <row r="76" spans="1:42" s="225" customFormat="1" ht="4.5" customHeight="1">
      <c r="A76" s="196"/>
      <c r="B76" s="196"/>
      <c r="C76" s="196"/>
      <c r="D76" s="163"/>
      <c r="E76" s="163"/>
      <c r="F76" s="163"/>
      <c r="G76" s="196"/>
      <c r="H76" s="196"/>
      <c r="I76" s="196"/>
      <c r="J76" s="196"/>
      <c r="K76" s="196"/>
      <c r="L76" s="196"/>
      <c r="M76" s="196"/>
      <c r="N76" s="196"/>
      <c r="O76" s="46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429"/>
      <c r="AC76" s="430"/>
      <c r="AD76" s="428"/>
      <c r="AE76" s="428"/>
      <c r="AF76" s="428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</row>
    <row r="77" spans="1:42" s="225" customFormat="1" ht="13.5" customHeight="1">
      <c r="A77" s="150" t="s">
        <v>227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458"/>
      <c r="P77" s="371"/>
      <c r="Q77" s="371"/>
      <c r="R77" s="371"/>
      <c r="S77" s="371"/>
      <c r="T77" s="371"/>
      <c r="U77" s="371"/>
      <c r="V77" s="371"/>
      <c r="W77" s="371"/>
      <c r="X77" s="382"/>
      <c r="Y77" s="382"/>
      <c r="Z77" s="382"/>
      <c r="AA77" s="382"/>
      <c r="AB77" s="430"/>
      <c r="AC77" s="430"/>
      <c r="AD77" s="428"/>
      <c r="AE77" s="428"/>
      <c r="AF77" s="428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</row>
    <row r="78" spans="1:42" ht="18" customHeight="1">
      <c r="A78" s="925">
        <v>22465430</v>
      </c>
      <c r="B78" s="925"/>
      <c r="C78" s="925"/>
      <c r="D78" s="198">
        <v>152435.78</v>
      </c>
      <c r="E78" s="199" t="s">
        <v>228</v>
      </c>
      <c r="F78" s="157" t="s">
        <v>229</v>
      </c>
      <c r="G78" s="926">
        <f>ROUND(A78/D78,2)</f>
        <v>147.38</v>
      </c>
      <c r="H78" s="926"/>
      <c r="I78" s="861"/>
      <c r="J78" s="861"/>
      <c r="K78" s="861"/>
      <c r="L78" s="861"/>
      <c r="M78" s="861"/>
      <c r="N78" s="861"/>
      <c r="O78" s="460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417"/>
      <c r="AD78" s="412"/>
      <c r="AE78" s="412"/>
      <c r="AF78" s="412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</row>
    <row r="79" spans="1:42" ht="18" customHeight="1">
      <c r="A79" s="833">
        <f>2053570+205350</f>
        <v>2258920</v>
      </c>
      <c r="B79" s="833"/>
      <c r="C79" s="833"/>
      <c r="D79" s="201">
        <v>13934.22</v>
      </c>
      <c r="E79" s="202" t="s">
        <v>230</v>
      </c>
      <c r="F79" s="157" t="s">
        <v>231</v>
      </c>
      <c r="G79" s="860">
        <f>ROUND(A79/D79,2)</f>
        <v>162.11000000000001</v>
      </c>
      <c r="H79" s="860"/>
      <c r="I79" s="200"/>
      <c r="J79" s="200"/>
      <c r="K79" s="200"/>
      <c r="L79" s="200"/>
      <c r="M79" s="200"/>
      <c r="N79" s="200"/>
      <c r="O79" s="460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417"/>
      <c r="AD79" s="412"/>
      <c r="AE79" s="412"/>
      <c r="AF79" s="412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</row>
    <row r="80" spans="1:42" ht="17.25" customHeight="1">
      <c r="A80" s="927" t="s">
        <v>232</v>
      </c>
      <c r="B80" s="927"/>
      <c r="C80" s="203" t="s">
        <v>233</v>
      </c>
      <c r="D80" s="204" t="s">
        <v>234</v>
      </c>
      <c r="E80" s="831" t="s">
        <v>235</v>
      </c>
      <c r="F80" s="831"/>
      <c r="G80" s="831"/>
      <c r="H80" s="824" t="s">
        <v>236</v>
      </c>
      <c r="I80" s="924"/>
      <c r="J80" s="924"/>
      <c r="K80" s="924"/>
      <c r="L80" s="825"/>
      <c r="M80" s="831" t="s">
        <v>237</v>
      </c>
      <c r="N80" s="831"/>
      <c r="O80" s="157"/>
      <c r="X80" s="399"/>
      <c r="Y80" s="399"/>
      <c r="Z80" s="399"/>
      <c r="AA80" s="399"/>
      <c r="AB80" s="403"/>
      <c r="AD80" s="412"/>
      <c r="AE80" s="412"/>
      <c r="AF80" s="412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</row>
    <row r="81" spans="1:42" ht="17.25" customHeight="1">
      <c r="A81" s="790">
        <v>79.319999999999993</v>
      </c>
      <c r="B81" s="790"/>
      <c r="C81" s="205">
        <v>258</v>
      </c>
      <c r="D81" s="936">
        <f>G78</f>
        <v>147.38</v>
      </c>
      <c r="E81" s="817">
        <f>ROUND(A81*$D$81,-1)</f>
        <v>11690</v>
      </c>
      <c r="F81" s="817"/>
      <c r="G81" s="817"/>
      <c r="H81" s="836">
        <f t="shared" ref="H81:H87" si="4">E81*C81</f>
        <v>3016020</v>
      </c>
      <c r="I81" s="837"/>
      <c r="J81" s="837"/>
      <c r="K81" s="837"/>
      <c r="L81" s="838"/>
      <c r="M81" s="923"/>
      <c r="N81" s="923"/>
      <c r="O81" s="197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419"/>
      <c r="AD81" s="412"/>
      <c r="AE81" s="412"/>
      <c r="AF81" s="412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</row>
    <row r="82" spans="1:42" ht="17.25" customHeight="1">
      <c r="A82" s="790">
        <v>92.54</v>
      </c>
      <c r="B82" s="790"/>
      <c r="C82" s="205">
        <v>196</v>
      </c>
      <c r="D82" s="821"/>
      <c r="E82" s="817">
        <f>ROUND(A82*$D$81,-1)</f>
        <v>13640</v>
      </c>
      <c r="F82" s="817"/>
      <c r="G82" s="817"/>
      <c r="H82" s="836">
        <f t="shared" si="4"/>
        <v>2673440</v>
      </c>
      <c r="I82" s="837"/>
      <c r="J82" s="837"/>
      <c r="K82" s="837"/>
      <c r="L82" s="838"/>
      <c r="M82" s="918"/>
      <c r="N82" s="918"/>
      <c r="O82" s="197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419"/>
      <c r="AD82" s="412"/>
      <c r="AE82" s="412"/>
      <c r="AF82" s="412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</row>
    <row r="83" spans="1:42" ht="17.25" customHeight="1">
      <c r="A83" s="790">
        <v>109.07</v>
      </c>
      <c r="B83" s="790"/>
      <c r="C83" s="205">
        <v>815</v>
      </c>
      <c r="D83" s="821"/>
      <c r="E83" s="817">
        <f>ROUND(A83*$D$81,-1)</f>
        <v>16070</v>
      </c>
      <c r="F83" s="817"/>
      <c r="G83" s="817"/>
      <c r="H83" s="836">
        <f t="shared" si="4"/>
        <v>13097050</v>
      </c>
      <c r="I83" s="837"/>
      <c r="J83" s="837"/>
      <c r="K83" s="837"/>
      <c r="L83" s="838"/>
      <c r="M83" s="918"/>
      <c r="N83" s="918"/>
      <c r="O83" s="197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419"/>
      <c r="AD83" s="412"/>
      <c r="AE83" s="412"/>
      <c r="AF83" s="412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</row>
    <row r="84" spans="1:42" ht="17.25" customHeight="1">
      <c r="A84" s="790">
        <v>128.9</v>
      </c>
      <c r="B84" s="790"/>
      <c r="C84" s="205">
        <v>68</v>
      </c>
      <c r="D84" s="821"/>
      <c r="E84" s="817">
        <f>ROUND(A84*$D$81,-1)</f>
        <v>19000</v>
      </c>
      <c r="F84" s="817"/>
      <c r="G84" s="817"/>
      <c r="H84" s="836">
        <f t="shared" si="4"/>
        <v>1292000</v>
      </c>
      <c r="I84" s="837"/>
      <c r="J84" s="837"/>
      <c r="K84" s="837"/>
      <c r="L84" s="838"/>
      <c r="M84" s="918"/>
      <c r="N84" s="918"/>
      <c r="O84" s="197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419"/>
      <c r="AD84" s="412"/>
      <c r="AE84" s="412"/>
      <c r="AF84" s="412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</row>
    <row r="85" spans="1:42" ht="17.25" customHeight="1" thickBot="1">
      <c r="A85" s="919">
        <v>158.63999999999999</v>
      </c>
      <c r="B85" s="919"/>
      <c r="C85" s="210">
        <v>102</v>
      </c>
      <c r="D85" s="937"/>
      <c r="E85" s="921">
        <f>ROUND(A85*$D$81,-1)</f>
        <v>23380</v>
      </c>
      <c r="F85" s="921"/>
      <c r="G85" s="921"/>
      <c r="H85" s="939">
        <f t="shared" si="4"/>
        <v>2384760</v>
      </c>
      <c r="I85" s="940"/>
      <c r="J85" s="940"/>
      <c r="K85" s="940"/>
      <c r="L85" s="941"/>
      <c r="M85" s="938"/>
      <c r="N85" s="938"/>
      <c r="O85" s="197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419"/>
      <c r="AD85" s="412"/>
      <c r="AE85" s="412"/>
      <c r="AF85" s="412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</row>
    <row r="86" spans="1:42" ht="17.25" customHeight="1">
      <c r="A86" s="845">
        <v>188.39</v>
      </c>
      <c r="B86" s="845"/>
      <c r="C86" s="213">
        <v>34</v>
      </c>
      <c r="D86" s="822">
        <f>G79</f>
        <v>162.11000000000001</v>
      </c>
      <c r="E86" s="920">
        <f>ROUND(A86*$D$86,-1)</f>
        <v>30540</v>
      </c>
      <c r="F86" s="920"/>
      <c r="G86" s="920"/>
      <c r="H86" s="933">
        <f t="shared" si="4"/>
        <v>1038360</v>
      </c>
      <c r="I86" s="934"/>
      <c r="J86" s="934"/>
      <c r="K86" s="934"/>
      <c r="L86" s="935"/>
      <c r="M86" s="930"/>
      <c r="N86" s="931"/>
      <c r="O86" s="197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419"/>
      <c r="AD86" s="412"/>
      <c r="AE86" s="412"/>
      <c r="AF86" s="412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ht="17.25" customHeight="1">
      <c r="A87" s="790">
        <v>221.44</v>
      </c>
      <c r="B87" s="790"/>
      <c r="C87" s="205">
        <v>34</v>
      </c>
      <c r="D87" s="932"/>
      <c r="E87" s="817">
        <f>ROUND(A87*$D$86,-1)</f>
        <v>35900</v>
      </c>
      <c r="F87" s="817"/>
      <c r="G87" s="817"/>
      <c r="H87" s="836">
        <f t="shared" si="4"/>
        <v>1220600</v>
      </c>
      <c r="I87" s="837"/>
      <c r="J87" s="837"/>
      <c r="K87" s="837"/>
      <c r="L87" s="838"/>
      <c r="M87" s="928"/>
      <c r="N87" s="929"/>
      <c r="O87" s="197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419"/>
      <c r="AD87" s="412"/>
      <c r="AE87" s="412"/>
      <c r="AF87" s="412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</row>
    <row r="88" spans="1:42" ht="17.25" customHeight="1">
      <c r="A88" s="912" t="s">
        <v>192</v>
      </c>
      <c r="B88" s="912"/>
      <c r="C88" s="216">
        <f>SUM(C81:C87)</f>
        <v>1507</v>
      </c>
      <c r="D88" s="217"/>
      <c r="E88" s="817"/>
      <c r="F88" s="817"/>
      <c r="G88" s="817"/>
      <c r="H88" s="857">
        <f>SUM(H81:H87)</f>
        <v>24722230</v>
      </c>
      <c r="I88" s="858"/>
      <c r="J88" s="858"/>
      <c r="K88" s="858"/>
      <c r="L88" s="859"/>
      <c r="M88" s="177" t="s">
        <v>238</v>
      </c>
      <c r="N88" s="227">
        <f>H88-A78-A79</f>
        <v>-2120</v>
      </c>
      <c r="O88" s="228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432"/>
      <c r="AD88" s="412"/>
      <c r="AE88" s="412"/>
      <c r="AF88" s="412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</row>
    <row r="89" spans="1:42" ht="6" customHeight="1">
      <c r="A89" s="157"/>
      <c r="B89" s="157"/>
      <c r="C89" s="197"/>
      <c r="D89" s="157"/>
      <c r="E89" s="163"/>
      <c r="F89" s="163"/>
      <c r="G89" s="163"/>
      <c r="H89" s="197"/>
      <c r="I89" s="197"/>
      <c r="J89" s="197"/>
      <c r="K89" s="197"/>
      <c r="L89" s="197"/>
      <c r="M89" s="157"/>
      <c r="N89" s="228"/>
      <c r="O89" s="228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432"/>
      <c r="AD89" s="412"/>
      <c r="AE89" s="412"/>
      <c r="AF89" s="412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</row>
    <row r="90" spans="1:42" ht="21.75" customHeight="1">
      <c r="A90" s="913" t="s">
        <v>778</v>
      </c>
      <c r="B90" s="913"/>
      <c r="C90" s="913"/>
      <c r="D90" s="913"/>
      <c r="E90" s="913"/>
      <c r="F90" s="913"/>
      <c r="G90" s="913"/>
      <c r="H90" s="913"/>
      <c r="I90" s="913"/>
      <c r="J90" s="913"/>
      <c r="K90" s="913"/>
      <c r="L90" s="913"/>
      <c r="M90" s="913"/>
      <c r="N90" s="913"/>
      <c r="O90" s="284"/>
      <c r="P90" s="575"/>
      <c r="Q90" s="575"/>
      <c r="R90" s="575"/>
      <c r="S90" s="575"/>
      <c r="T90" s="575"/>
      <c r="U90" s="575"/>
      <c r="V90" s="575"/>
      <c r="W90" s="575"/>
      <c r="X90" s="396"/>
      <c r="Y90" s="396"/>
      <c r="Z90" s="396"/>
      <c r="AA90" s="396"/>
      <c r="AB90" s="405"/>
      <c r="AD90" s="412"/>
      <c r="AE90" s="412"/>
      <c r="AF90" s="421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</row>
    <row r="91" spans="1:42">
      <c r="A91" s="230" t="s">
        <v>239</v>
      </c>
      <c r="B91" s="230"/>
      <c r="C91" s="230"/>
      <c r="D91" s="180" t="s">
        <v>240</v>
      </c>
      <c r="E91" s="180"/>
      <c r="F91" s="180"/>
      <c r="G91" s="180"/>
      <c r="H91" s="180"/>
      <c r="I91" s="180"/>
      <c r="J91" s="180"/>
      <c r="K91" s="180"/>
      <c r="M91" s="867">
        <f>D94</f>
        <v>22873570</v>
      </c>
      <c r="N91" s="867"/>
      <c r="O91" s="45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424"/>
      <c r="AD91" s="412"/>
      <c r="AE91" s="412"/>
      <c r="AF91" s="412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</row>
    <row r="92" spans="1:42">
      <c r="A92" s="150" t="s">
        <v>241</v>
      </c>
      <c r="B92" s="230"/>
      <c r="C92" s="230"/>
      <c r="D92" s="143"/>
      <c r="E92" s="143"/>
      <c r="F92" s="143"/>
      <c r="G92" s="143"/>
      <c r="H92" s="143"/>
      <c r="I92" s="143"/>
      <c r="J92" s="143"/>
      <c r="K92" s="143"/>
      <c r="L92" s="221"/>
      <c r="M92" s="221"/>
      <c r="N92" s="221"/>
      <c r="O92" s="45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424"/>
      <c r="AD92" s="412"/>
      <c r="AE92" s="412"/>
      <c r="AF92" s="412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</row>
    <row r="93" spans="1:42" s="225" customFormat="1" ht="16.5" customHeight="1" thickBot="1">
      <c r="A93" s="883" t="s">
        <v>242</v>
      </c>
      <c r="B93" s="883"/>
      <c r="C93" s="883"/>
      <c r="D93" s="883" t="s">
        <v>243</v>
      </c>
      <c r="E93" s="883"/>
      <c r="F93" s="883"/>
      <c r="G93" s="883" t="s">
        <v>244</v>
      </c>
      <c r="H93" s="883"/>
      <c r="I93" s="883"/>
      <c r="J93" s="883"/>
      <c r="K93" s="883"/>
      <c r="L93" s="883"/>
      <c r="M93" s="883"/>
      <c r="N93" s="883"/>
      <c r="O93" s="46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429"/>
      <c r="AC93" s="430"/>
      <c r="AD93" s="428"/>
      <c r="AE93" s="428"/>
      <c r="AF93" s="428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</row>
    <row r="94" spans="1:42" s="225" customFormat="1" ht="16.5" customHeight="1" thickTop="1">
      <c r="A94" s="885" t="s">
        <v>245</v>
      </c>
      <c r="B94" s="885"/>
      <c r="C94" s="885"/>
      <c r="D94" s="914">
        <f>A97+A98</f>
        <v>22873570</v>
      </c>
      <c r="E94" s="914"/>
      <c r="F94" s="914"/>
      <c r="G94" s="915" t="s">
        <v>387</v>
      </c>
      <c r="H94" s="916"/>
      <c r="I94" s="916"/>
      <c r="J94" s="916"/>
      <c r="K94" s="916"/>
      <c r="L94" s="916"/>
      <c r="M94" s="916"/>
      <c r="N94" s="917"/>
      <c r="O94" s="226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431"/>
      <c r="AC94" s="430"/>
      <c r="AD94" s="428"/>
      <c r="AE94" s="428"/>
      <c r="AF94" s="428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</row>
    <row r="95" spans="1:42" s="160" customFormat="1" ht="5.25" customHeight="1">
      <c r="A95" s="231"/>
      <c r="B95" s="231"/>
      <c r="C95" s="231"/>
      <c r="D95" s="179"/>
      <c r="E95" s="179"/>
      <c r="F95" s="179"/>
      <c r="G95" s="231"/>
      <c r="H95" s="231"/>
      <c r="I95" s="231"/>
      <c r="J95" s="231"/>
      <c r="K95" s="231"/>
      <c r="L95" s="231"/>
      <c r="M95" s="231"/>
      <c r="N95" s="231"/>
      <c r="O95" s="231"/>
      <c r="P95" s="385"/>
      <c r="Q95" s="385"/>
      <c r="R95" s="385"/>
      <c r="S95" s="385"/>
      <c r="T95" s="385"/>
      <c r="U95" s="385"/>
      <c r="V95" s="385"/>
      <c r="W95" s="385"/>
      <c r="X95" s="385"/>
      <c r="Y95" s="385"/>
      <c r="Z95" s="385"/>
      <c r="AA95" s="385"/>
      <c r="AB95" s="433"/>
      <c r="AC95" s="404"/>
      <c r="AD95" s="434"/>
      <c r="AE95" s="434"/>
      <c r="AF95" s="434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</row>
    <row r="96" spans="1:42" s="225" customFormat="1" ht="14.25" customHeight="1">
      <c r="A96" s="880" t="s">
        <v>227</v>
      </c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458"/>
      <c r="P96" s="371"/>
      <c r="Q96" s="371"/>
      <c r="R96" s="371"/>
      <c r="S96" s="371"/>
      <c r="T96" s="371"/>
      <c r="U96" s="371"/>
      <c r="V96" s="371"/>
      <c r="W96" s="371"/>
      <c r="X96" s="382"/>
      <c r="Y96" s="382"/>
      <c r="Z96" s="382"/>
      <c r="AA96" s="382"/>
      <c r="AB96" s="430"/>
      <c r="AC96" s="430"/>
      <c r="AD96" s="428"/>
      <c r="AE96" s="428"/>
      <c r="AF96" s="428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</row>
    <row r="97" spans="1:42" ht="18.75" customHeight="1">
      <c r="A97" s="925">
        <v>20783820</v>
      </c>
      <c r="B97" s="925"/>
      <c r="C97" s="925"/>
      <c r="D97" s="198">
        <v>152435.78</v>
      </c>
      <c r="E97" s="199" t="s">
        <v>228</v>
      </c>
      <c r="F97" s="157" t="s">
        <v>229</v>
      </c>
      <c r="G97" s="926">
        <f>ROUND(A97/D97,2)</f>
        <v>136.34</v>
      </c>
      <c r="H97" s="926"/>
      <c r="I97" s="861"/>
      <c r="J97" s="861"/>
      <c r="K97" s="861"/>
      <c r="L97" s="861"/>
      <c r="M97" s="861"/>
      <c r="N97" s="861"/>
      <c r="O97" s="460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417"/>
      <c r="AD97" s="412"/>
      <c r="AE97" s="412"/>
      <c r="AF97" s="412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</row>
    <row r="98" spans="1:42" ht="18.75" customHeight="1">
      <c r="A98" s="833">
        <v>2089750</v>
      </c>
      <c r="B98" s="833"/>
      <c r="C98" s="833"/>
      <c r="D98" s="201">
        <v>13934.22</v>
      </c>
      <c r="E98" s="202" t="s">
        <v>230</v>
      </c>
      <c r="F98" s="157" t="s">
        <v>231</v>
      </c>
      <c r="G98" s="860">
        <f>ROUND(A98/D98,2)</f>
        <v>149.97</v>
      </c>
      <c r="H98" s="860"/>
      <c r="I98" s="200"/>
      <c r="J98" s="200"/>
      <c r="K98" s="200"/>
      <c r="L98" s="200"/>
      <c r="M98" s="200"/>
      <c r="N98" s="200"/>
      <c r="O98" s="460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417"/>
      <c r="AD98" s="412"/>
      <c r="AE98" s="412"/>
      <c r="AF98" s="412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</row>
    <row r="99" spans="1:42" ht="19.5" customHeight="1">
      <c r="A99" s="927" t="s">
        <v>232</v>
      </c>
      <c r="B99" s="927"/>
      <c r="C99" s="203" t="s">
        <v>233</v>
      </c>
      <c r="D99" s="204" t="s">
        <v>234</v>
      </c>
      <c r="E99" s="831" t="s">
        <v>235</v>
      </c>
      <c r="F99" s="831"/>
      <c r="G99" s="831"/>
      <c r="H99" s="824" t="s">
        <v>236</v>
      </c>
      <c r="I99" s="924"/>
      <c r="J99" s="924"/>
      <c r="K99" s="924"/>
      <c r="L99" s="825"/>
      <c r="M99" s="831" t="s">
        <v>244</v>
      </c>
      <c r="N99" s="831"/>
      <c r="O99" s="157"/>
      <c r="X99" s="399"/>
      <c r="Y99" s="399"/>
      <c r="Z99" s="399"/>
      <c r="AA99" s="399"/>
      <c r="AB99" s="403"/>
      <c r="AD99" s="412"/>
      <c r="AE99" s="412"/>
      <c r="AF99" s="412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</row>
    <row r="100" spans="1:42" ht="19.5" customHeight="1">
      <c r="A100" s="790">
        <v>79.319999999999993</v>
      </c>
      <c r="B100" s="790"/>
      <c r="C100" s="205">
        <v>258</v>
      </c>
      <c r="D100" s="936">
        <f>G97</f>
        <v>136.34</v>
      </c>
      <c r="E100" s="817">
        <f>ROUND(A100*$D$100,-1)</f>
        <v>10810</v>
      </c>
      <c r="F100" s="817"/>
      <c r="G100" s="817"/>
      <c r="H100" s="836">
        <f t="shared" ref="H100:H105" si="5">ROUND(E100*C100,0)</f>
        <v>2788980</v>
      </c>
      <c r="I100" s="837"/>
      <c r="J100" s="837"/>
      <c r="K100" s="837"/>
      <c r="L100" s="838"/>
      <c r="M100" s="923"/>
      <c r="N100" s="923"/>
      <c r="O100" s="197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419"/>
      <c r="AD100" s="412"/>
      <c r="AE100" s="412"/>
      <c r="AF100" s="412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</row>
    <row r="101" spans="1:42" ht="19.5" customHeight="1">
      <c r="A101" s="790">
        <v>92.54</v>
      </c>
      <c r="B101" s="790"/>
      <c r="C101" s="205">
        <v>196</v>
      </c>
      <c r="D101" s="821"/>
      <c r="E101" s="817">
        <f>ROUND(A101*$D$100,-1)</f>
        <v>12620</v>
      </c>
      <c r="F101" s="817"/>
      <c r="G101" s="817"/>
      <c r="H101" s="836">
        <f t="shared" si="5"/>
        <v>2473520</v>
      </c>
      <c r="I101" s="837"/>
      <c r="J101" s="837"/>
      <c r="K101" s="837"/>
      <c r="L101" s="838"/>
      <c r="M101" s="918"/>
      <c r="N101" s="918"/>
      <c r="O101" s="197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419"/>
      <c r="AD101" s="412"/>
      <c r="AE101" s="412"/>
      <c r="AF101" s="412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</row>
    <row r="102" spans="1:42" ht="19.5" customHeight="1">
      <c r="A102" s="790">
        <v>109.07</v>
      </c>
      <c r="B102" s="790"/>
      <c r="C102" s="205">
        <v>815</v>
      </c>
      <c r="D102" s="821"/>
      <c r="E102" s="817">
        <f>ROUND(A102*$D$100,-1)</f>
        <v>14870</v>
      </c>
      <c r="F102" s="817"/>
      <c r="G102" s="817"/>
      <c r="H102" s="836">
        <f t="shared" si="5"/>
        <v>12119050</v>
      </c>
      <c r="I102" s="837"/>
      <c r="J102" s="837"/>
      <c r="K102" s="837"/>
      <c r="L102" s="838"/>
      <c r="M102" s="918"/>
      <c r="N102" s="918"/>
      <c r="O102" s="197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419"/>
      <c r="AD102" s="412"/>
      <c r="AE102" s="412"/>
      <c r="AF102" s="412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</row>
    <row r="103" spans="1:42" ht="19.5" customHeight="1">
      <c r="A103" s="790">
        <v>128.9</v>
      </c>
      <c r="B103" s="790"/>
      <c r="C103" s="205">
        <v>68</v>
      </c>
      <c r="D103" s="821"/>
      <c r="E103" s="817">
        <f>ROUND(A103*$D$100,-1)</f>
        <v>17570</v>
      </c>
      <c r="F103" s="817"/>
      <c r="G103" s="817"/>
      <c r="H103" s="836">
        <f t="shared" si="5"/>
        <v>1194760</v>
      </c>
      <c r="I103" s="837"/>
      <c r="J103" s="837"/>
      <c r="K103" s="837"/>
      <c r="L103" s="838"/>
      <c r="M103" s="918"/>
      <c r="N103" s="918"/>
      <c r="O103" s="197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419"/>
      <c r="AD103" s="412"/>
      <c r="AE103" s="412"/>
      <c r="AF103" s="412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</row>
    <row r="104" spans="1:42" ht="19.5" customHeight="1" thickBot="1">
      <c r="A104" s="919">
        <v>158.63999999999999</v>
      </c>
      <c r="B104" s="919"/>
      <c r="C104" s="210">
        <v>102</v>
      </c>
      <c r="D104" s="937"/>
      <c r="E104" s="921">
        <f>ROUND(A104*$D$100,-1)</f>
        <v>21630</v>
      </c>
      <c r="F104" s="921"/>
      <c r="G104" s="921"/>
      <c r="H104" s="939">
        <f t="shared" si="5"/>
        <v>2206260</v>
      </c>
      <c r="I104" s="940"/>
      <c r="J104" s="940"/>
      <c r="K104" s="940"/>
      <c r="L104" s="941"/>
      <c r="M104" s="938"/>
      <c r="N104" s="938"/>
      <c r="O104" s="197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419"/>
      <c r="AD104" s="412"/>
      <c r="AE104" s="412"/>
      <c r="AF104" s="412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</row>
    <row r="105" spans="1:42" ht="19.5" customHeight="1">
      <c r="A105" s="845">
        <v>188.39</v>
      </c>
      <c r="B105" s="845"/>
      <c r="C105" s="213">
        <v>34</v>
      </c>
      <c r="D105" s="822">
        <f>G98</f>
        <v>149.97</v>
      </c>
      <c r="E105" s="920">
        <f>ROUND(A105*$D$105,-1)</f>
        <v>28250</v>
      </c>
      <c r="F105" s="920"/>
      <c r="G105" s="920"/>
      <c r="H105" s="836">
        <f t="shared" si="5"/>
        <v>960500</v>
      </c>
      <c r="I105" s="837"/>
      <c r="J105" s="837"/>
      <c r="K105" s="837"/>
      <c r="L105" s="838"/>
      <c r="M105" s="930"/>
      <c r="N105" s="931"/>
      <c r="O105" s="197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419"/>
      <c r="AD105" s="412"/>
      <c r="AE105" s="412"/>
      <c r="AF105" s="412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</row>
    <row r="106" spans="1:42" ht="19.5" customHeight="1">
      <c r="A106" s="790">
        <v>221.44</v>
      </c>
      <c r="B106" s="790"/>
      <c r="C106" s="205">
        <v>34</v>
      </c>
      <c r="D106" s="932"/>
      <c r="E106" s="817">
        <f>ROUND(A106*$D$105,-1)</f>
        <v>33210</v>
      </c>
      <c r="F106" s="817"/>
      <c r="G106" s="817"/>
      <c r="H106" s="836">
        <f t="shared" ref="H106" si="6">ROUND(E106*C106,0)</f>
        <v>1129140</v>
      </c>
      <c r="I106" s="837"/>
      <c r="J106" s="837"/>
      <c r="K106" s="837"/>
      <c r="L106" s="838"/>
      <c r="M106" s="928"/>
      <c r="N106" s="929"/>
      <c r="O106" s="197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419"/>
      <c r="AD106" s="412"/>
      <c r="AE106" s="412"/>
      <c r="AF106" s="412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</row>
    <row r="107" spans="1:42" ht="19.5" customHeight="1">
      <c r="A107" s="912" t="s">
        <v>192</v>
      </c>
      <c r="B107" s="912"/>
      <c r="C107" s="216">
        <f>SUM(C100:C106)</f>
        <v>1507</v>
      </c>
      <c r="D107" s="217"/>
      <c r="E107" s="817"/>
      <c r="F107" s="817"/>
      <c r="G107" s="817"/>
      <c r="H107" s="857">
        <f>SUM(H100:H106)</f>
        <v>22872210</v>
      </c>
      <c r="I107" s="858"/>
      <c r="J107" s="858"/>
      <c r="K107" s="858"/>
      <c r="L107" s="859"/>
      <c r="M107" s="177" t="s">
        <v>238</v>
      </c>
      <c r="N107" s="227">
        <f>H107-A97-A98</f>
        <v>-1360</v>
      </c>
      <c r="O107" s="284"/>
      <c r="P107" s="575"/>
      <c r="Q107" s="575"/>
      <c r="R107" s="575"/>
      <c r="S107" s="575"/>
      <c r="T107" s="575"/>
      <c r="U107" s="575"/>
      <c r="V107" s="575"/>
      <c r="W107" s="575"/>
      <c r="X107" s="396"/>
      <c r="Y107" s="396"/>
      <c r="Z107" s="396"/>
      <c r="AA107" s="396"/>
      <c r="AB107" s="405"/>
      <c r="AD107" s="412"/>
      <c r="AE107" s="412"/>
      <c r="AF107" s="412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</row>
    <row r="108" spans="1:42" ht="3.75" customHeight="1">
      <c r="A108" s="157"/>
      <c r="B108" s="157"/>
      <c r="C108" s="197"/>
      <c r="D108" s="157"/>
      <c r="E108" s="163"/>
      <c r="F108" s="163"/>
      <c r="G108" s="163"/>
      <c r="H108" s="197"/>
      <c r="I108" s="197"/>
      <c r="J108" s="197"/>
      <c r="K108" s="197"/>
      <c r="L108" s="197"/>
      <c r="M108" s="157"/>
      <c r="N108" s="163"/>
      <c r="O108" s="284"/>
      <c r="P108" s="575"/>
      <c r="Q108" s="575"/>
      <c r="R108" s="575"/>
      <c r="S108" s="575"/>
      <c r="T108" s="575"/>
      <c r="U108" s="575"/>
      <c r="V108" s="575"/>
      <c r="W108" s="575"/>
      <c r="X108" s="396"/>
      <c r="Y108" s="396"/>
      <c r="Z108" s="396"/>
      <c r="AA108" s="396"/>
      <c r="AB108" s="405"/>
      <c r="AD108" s="412"/>
      <c r="AE108" s="412"/>
      <c r="AF108" s="412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</row>
    <row r="109" spans="1:42" ht="12.75" customHeight="1">
      <c r="A109" s="913" t="s">
        <v>779</v>
      </c>
      <c r="B109" s="913"/>
      <c r="C109" s="913"/>
      <c r="D109" s="913"/>
      <c r="E109" s="913"/>
      <c r="F109" s="913"/>
      <c r="G109" s="913"/>
      <c r="H109" s="913"/>
      <c r="I109" s="913"/>
      <c r="J109" s="913"/>
      <c r="K109" s="913"/>
      <c r="L109" s="913"/>
      <c r="M109" s="913"/>
      <c r="N109" s="913"/>
      <c r="O109" s="284"/>
      <c r="P109" s="575"/>
      <c r="Q109" s="575"/>
      <c r="R109" s="575"/>
      <c r="S109" s="575"/>
      <c r="T109" s="575"/>
      <c r="U109" s="575"/>
      <c r="V109" s="575"/>
      <c r="W109" s="575"/>
      <c r="X109" s="396"/>
      <c r="Y109" s="396"/>
      <c r="Z109" s="396"/>
      <c r="AA109" s="396"/>
      <c r="AB109" s="405"/>
      <c r="AD109" s="412"/>
      <c r="AE109" s="412"/>
      <c r="AF109" s="421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</row>
    <row r="110" spans="1:42" s="291" customFormat="1" ht="6.75" customHeight="1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84"/>
      <c r="P110" s="575"/>
      <c r="Q110" s="575"/>
      <c r="R110" s="575"/>
      <c r="S110" s="575"/>
      <c r="T110" s="575"/>
      <c r="U110" s="575"/>
      <c r="V110" s="575"/>
      <c r="W110" s="575"/>
      <c r="X110" s="396"/>
      <c r="Y110" s="396"/>
      <c r="Z110" s="396"/>
      <c r="AA110" s="396"/>
      <c r="AB110" s="405"/>
      <c r="AC110" s="401"/>
      <c r="AD110" s="412"/>
      <c r="AE110" s="412"/>
      <c r="AF110" s="421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</row>
    <row r="111" spans="1:42" s="157" customFormat="1" ht="13.5" customHeight="1">
      <c r="A111" s="230" t="s">
        <v>246</v>
      </c>
      <c r="B111" s="230"/>
      <c r="C111" s="230"/>
      <c r="D111" s="180" t="s">
        <v>240</v>
      </c>
      <c r="E111" s="180"/>
      <c r="F111" s="180"/>
      <c r="G111" s="180"/>
      <c r="H111" s="180"/>
      <c r="I111" s="180"/>
      <c r="J111" s="180"/>
      <c r="K111" s="180"/>
      <c r="M111" s="867">
        <f>D114</f>
        <v>980000</v>
      </c>
      <c r="N111" s="867"/>
      <c r="O111" s="45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424"/>
      <c r="AC111" s="403"/>
      <c r="AD111" s="413"/>
      <c r="AE111" s="413"/>
      <c r="AF111" s="413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</row>
    <row r="112" spans="1:42" s="157" customFormat="1" ht="14.25" customHeight="1">
      <c r="A112" s="150" t="s">
        <v>241</v>
      </c>
      <c r="B112" s="230"/>
      <c r="C112" s="230"/>
      <c r="D112" s="143"/>
      <c r="E112" s="143"/>
      <c r="F112" s="143"/>
      <c r="G112" s="143"/>
      <c r="H112" s="143"/>
      <c r="I112" s="143"/>
      <c r="J112" s="143"/>
      <c r="K112" s="143"/>
      <c r="L112" s="221"/>
      <c r="M112" s="221"/>
      <c r="N112" s="221"/>
      <c r="O112" s="45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424"/>
      <c r="AC112" s="403"/>
      <c r="AD112" s="413"/>
      <c r="AE112" s="413"/>
      <c r="AF112" s="413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</row>
    <row r="113" spans="1:42" s="157" customFormat="1" ht="18.75" customHeight="1" thickBot="1">
      <c r="A113" s="883" t="s">
        <v>242</v>
      </c>
      <c r="B113" s="883"/>
      <c r="C113" s="883"/>
      <c r="D113" s="883" t="s">
        <v>243</v>
      </c>
      <c r="E113" s="883"/>
      <c r="F113" s="883"/>
      <c r="G113" s="883" t="s">
        <v>247</v>
      </c>
      <c r="H113" s="883"/>
      <c r="I113" s="883"/>
      <c r="J113" s="883"/>
      <c r="K113" s="883"/>
      <c r="L113" s="883"/>
      <c r="M113" s="883"/>
      <c r="N113" s="883"/>
      <c r="O113" s="46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429"/>
      <c r="AC113" s="403"/>
      <c r="AD113" s="413"/>
      <c r="AE113" s="413"/>
      <c r="AF113" s="413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</row>
    <row r="114" spans="1:42" s="157" customFormat="1" ht="18.75" customHeight="1" thickTop="1">
      <c r="A114" s="885" t="s">
        <v>248</v>
      </c>
      <c r="B114" s="885"/>
      <c r="C114" s="885"/>
      <c r="D114" s="914">
        <v>980000</v>
      </c>
      <c r="E114" s="914"/>
      <c r="F114" s="914"/>
      <c r="G114" s="915" t="s">
        <v>774</v>
      </c>
      <c r="H114" s="916"/>
      <c r="I114" s="916"/>
      <c r="J114" s="916"/>
      <c r="K114" s="916"/>
      <c r="L114" s="916"/>
      <c r="M114" s="916"/>
      <c r="N114" s="917"/>
      <c r="O114" s="226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431"/>
      <c r="AC114" s="403"/>
      <c r="AD114" s="413"/>
      <c r="AE114" s="413"/>
      <c r="AF114" s="413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</row>
    <row r="115" spans="1:42" s="157" customFormat="1" ht="17.25" customHeight="1">
      <c r="A115" s="880" t="s">
        <v>249</v>
      </c>
      <c r="B115" s="880"/>
      <c r="C115" s="880"/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458"/>
      <c r="P115" s="371"/>
      <c r="Q115" s="371"/>
      <c r="R115" s="371"/>
      <c r="S115" s="371"/>
      <c r="T115" s="371"/>
      <c r="U115" s="371"/>
      <c r="V115" s="371"/>
      <c r="W115" s="371"/>
      <c r="X115" s="382"/>
      <c r="Y115" s="382"/>
      <c r="Z115" s="382"/>
      <c r="AA115" s="382"/>
      <c r="AB115" s="430"/>
      <c r="AC115" s="403"/>
      <c r="AD115" s="413"/>
      <c r="AE115" s="413"/>
      <c r="AF115" s="413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</row>
    <row r="116" spans="1:42" s="157" customFormat="1" ht="19.5" customHeight="1">
      <c r="A116" s="942">
        <f>M111</f>
        <v>980000</v>
      </c>
      <c r="B116" s="942"/>
      <c r="C116" s="942"/>
      <c r="D116" s="198">
        <v>166370</v>
      </c>
      <c r="E116" s="233" t="s">
        <v>250</v>
      </c>
      <c r="F116" s="142" t="s">
        <v>229</v>
      </c>
      <c r="G116" s="860">
        <f>ROUND(A116/D116,2)</f>
        <v>5.89</v>
      </c>
      <c r="H116" s="860"/>
      <c r="I116" s="861"/>
      <c r="J116" s="861"/>
      <c r="K116" s="861"/>
      <c r="L116" s="861"/>
      <c r="M116" s="861"/>
      <c r="N116" s="861"/>
      <c r="O116" s="460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417"/>
      <c r="AC116" s="403"/>
      <c r="AD116" s="413"/>
      <c r="AE116" s="413"/>
      <c r="AF116" s="413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</row>
    <row r="117" spans="1:42" s="157" customFormat="1" ht="15.75" customHeight="1" thickBot="1">
      <c r="A117" s="823" t="s">
        <v>232</v>
      </c>
      <c r="B117" s="823"/>
      <c r="C117" s="234" t="s">
        <v>233</v>
      </c>
      <c r="D117" s="182" t="s">
        <v>234</v>
      </c>
      <c r="E117" s="882" t="s">
        <v>235</v>
      </c>
      <c r="F117" s="882"/>
      <c r="G117" s="882"/>
      <c r="H117" s="864" t="s">
        <v>236</v>
      </c>
      <c r="I117" s="865"/>
      <c r="J117" s="865"/>
      <c r="K117" s="865"/>
      <c r="L117" s="866"/>
      <c r="M117" s="882" t="s">
        <v>244</v>
      </c>
      <c r="N117" s="882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403"/>
      <c r="AC117" s="403"/>
      <c r="AD117" s="413"/>
      <c r="AE117" s="413"/>
      <c r="AF117" s="413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</row>
    <row r="118" spans="1:42" s="157" customFormat="1" ht="15.75" customHeight="1" thickTop="1">
      <c r="A118" s="845">
        <v>79.319999999999993</v>
      </c>
      <c r="B118" s="845"/>
      <c r="C118" s="213">
        <v>258</v>
      </c>
      <c r="D118" s="943">
        <f>G116</f>
        <v>5.89</v>
      </c>
      <c r="E118" s="920">
        <f t="shared" ref="E118:E124" si="7">ROUND(A118*$D$118,-1)</f>
        <v>470</v>
      </c>
      <c r="F118" s="920"/>
      <c r="G118" s="920"/>
      <c r="H118" s="933">
        <f t="shared" ref="H118:H124" si="8">ROUND(E118*C118,0)</f>
        <v>121260</v>
      </c>
      <c r="I118" s="934"/>
      <c r="J118" s="934"/>
      <c r="K118" s="934"/>
      <c r="L118" s="935"/>
      <c r="M118" s="816"/>
      <c r="N118" s="816"/>
      <c r="O118" s="197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419"/>
      <c r="AC118" s="403"/>
      <c r="AD118" s="413"/>
      <c r="AE118" s="413"/>
      <c r="AF118" s="413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</row>
    <row r="119" spans="1:42" s="157" customFormat="1" ht="15.75" customHeight="1">
      <c r="A119" s="790">
        <v>92.54</v>
      </c>
      <c r="B119" s="790"/>
      <c r="C119" s="205">
        <v>196</v>
      </c>
      <c r="D119" s="943"/>
      <c r="E119" s="817">
        <f t="shared" si="7"/>
        <v>550</v>
      </c>
      <c r="F119" s="817"/>
      <c r="G119" s="817"/>
      <c r="H119" s="836">
        <f t="shared" si="8"/>
        <v>107800</v>
      </c>
      <c r="I119" s="837"/>
      <c r="J119" s="837"/>
      <c r="K119" s="837"/>
      <c r="L119" s="838"/>
      <c r="M119" s="789"/>
      <c r="N119" s="789"/>
      <c r="O119" s="197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419"/>
      <c r="AC119" s="403"/>
      <c r="AD119" s="413"/>
      <c r="AE119" s="413"/>
      <c r="AF119" s="413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</row>
    <row r="120" spans="1:42" s="157" customFormat="1" ht="15.75" customHeight="1">
      <c r="A120" s="790">
        <v>109.07</v>
      </c>
      <c r="B120" s="790"/>
      <c r="C120" s="205">
        <v>815</v>
      </c>
      <c r="D120" s="943"/>
      <c r="E120" s="817">
        <f t="shared" si="7"/>
        <v>640</v>
      </c>
      <c r="F120" s="817"/>
      <c r="G120" s="817"/>
      <c r="H120" s="836">
        <f t="shared" si="8"/>
        <v>521600</v>
      </c>
      <c r="I120" s="837"/>
      <c r="J120" s="837"/>
      <c r="K120" s="837"/>
      <c r="L120" s="838"/>
      <c r="M120" s="789"/>
      <c r="N120" s="789"/>
      <c r="O120" s="197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419"/>
      <c r="AC120" s="403"/>
      <c r="AD120" s="413"/>
      <c r="AE120" s="413"/>
      <c r="AF120" s="413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</row>
    <row r="121" spans="1:42" s="157" customFormat="1" ht="15.75" customHeight="1">
      <c r="A121" s="790">
        <v>128.9</v>
      </c>
      <c r="B121" s="790"/>
      <c r="C121" s="205">
        <v>68</v>
      </c>
      <c r="D121" s="943"/>
      <c r="E121" s="817">
        <f t="shared" si="7"/>
        <v>760</v>
      </c>
      <c r="F121" s="817"/>
      <c r="G121" s="817"/>
      <c r="H121" s="836">
        <f t="shared" si="8"/>
        <v>51680</v>
      </c>
      <c r="I121" s="837"/>
      <c r="J121" s="837"/>
      <c r="K121" s="837"/>
      <c r="L121" s="838"/>
      <c r="M121" s="789"/>
      <c r="N121" s="789"/>
      <c r="O121" s="197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419"/>
      <c r="AC121" s="403"/>
      <c r="AD121" s="413"/>
      <c r="AE121" s="413"/>
      <c r="AF121" s="413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</row>
    <row r="122" spans="1:42" s="157" customFormat="1" ht="15.75" customHeight="1">
      <c r="A122" s="790">
        <v>158.63999999999999</v>
      </c>
      <c r="B122" s="790"/>
      <c r="C122" s="205">
        <v>102</v>
      </c>
      <c r="D122" s="943"/>
      <c r="E122" s="817">
        <f t="shared" si="7"/>
        <v>930</v>
      </c>
      <c r="F122" s="817"/>
      <c r="G122" s="817"/>
      <c r="H122" s="836">
        <f t="shared" si="8"/>
        <v>94860</v>
      </c>
      <c r="I122" s="837"/>
      <c r="J122" s="837"/>
      <c r="K122" s="837"/>
      <c r="L122" s="838"/>
      <c r="M122" s="789"/>
      <c r="N122" s="789"/>
      <c r="O122" s="197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419"/>
      <c r="AC122" s="403"/>
      <c r="AD122" s="413"/>
      <c r="AE122" s="413"/>
      <c r="AF122" s="413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</row>
    <row r="123" spans="1:42" s="157" customFormat="1" ht="15.75" customHeight="1">
      <c r="A123" s="790">
        <v>188.39</v>
      </c>
      <c r="B123" s="790"/>
      <c r="C123" s="205">
        <v>34</v>
      </c>
      <c r="D123" s="943"/>
      <c r="E123" s="817">
        <f t="shared" si="7"/>
        <v>1110</v>
      </c>
      <c r="F123" s="817"/>
      <c r="G123" s="817"/>
      <c r="H123" s="836">
        <f t="shared" si="8"/>
        <v>37740</v>
      </c>
      <c r="I123" s="837"/>
      <c r="J123" s="837"/>
      <c r="K123" s="837"/>
      <c r="L123" s="838"/>
      <c r="M123" s="789"/>
      <c r="N123" s="789"/>
      <c r="O123" s="197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419"/>
      <c r="AC123" s="403"/>
      <c r="AD123" s="413"/>
      <c r="AE123" s="413"/>
      <c r="AF123" s="413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</row>
    <row r="124" spans="1:42" s="157" customFormat="1" ht="15.75" customHeight="1">
      <c r="A124" s="790">
        <v>221.44</v>
      </c>
      <c r="B124" s="790"/>
      <c r="C124" s="205">
        <v>34</v>
      </c>
      <c r="D124" s="944"/>
      <c r="E124" s="817">
        <f t="shared" si="7"/>
        <v>1300</v>
      </c>
      <c r="F124" s="817"/>
      <c r="G124" s="817"/>
      <c r="H124" s="836">
        <f t="shared" si="8"/>
        <v>44200</v>
      </c>
      <c r="I124" s="837"/>
      <c r="J124" s="837"/>
      <c r="K124" s="837"/>
      <c r="L124" s="838"/>
      <c r="M124" s="807"/>
      <c r="N124" s="807"/>
      <c r="O124" s="197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  <c r="AB124" s="419"/>
      <c r="AC124" s="403"/>
      <c r="AD124" s="413"/>
      <c r="AE124" s="413"/>
      <c r="AF124" s="413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</row>
    <row r="125" spans="1:42" s="157" customFormat="1" ht="15.75" customHeight="1">
      <c r="A125" s="912" t="s">
        <v>192</v>
      </c>
      <c r="B125" s="912"/>
      <c r="C125" s="216">
        <f>SUM(C118:C124)</f>
        <v>1507</v>
      </c>
      <c r="D125" s="217"/>
      <c r="E125" s="817"/>
      <c r="F125" s="817"/>
      <c r="G125" s="817"/>
      <c r="H125" s="857">
        <f>SUM(H118:H124)</f>
        <v>979140</v>
      </c>
      <c r="I125" s="858"/>
      <c r="J125" s="858"/>
      <c r="K125" s="858"/>
      <c r="L125" s="859"/>
      <c r="M125" s="177" t="s">
        <v>238</v>
      </c>
      <c r="N125" s="227">
        <f>H125-M111</f>
        <v>-860</v>
      </c>
      <c r="O125" s="284"/>
      <c r="P125" s="575"/>
      <c r="Q125" s="575"/>
      <c r="R125" s="575"/>
      <c r="S125" s="575"/>
      <c r="T125" s="575"/>
      <c r="U125" s="575"/>
      <c r="V125" s="575"/>
      <c r="W125" s="575"/>
      <c r="X125" s="396"/>
      <c r="Y125" s="396"/>
      <c r="Z125" s="396"/>
      <c r="AA125" s="396"/>
      <c r="AB125" s="405"/>
      <c r="AC125" s="403"/>
      <c r="AD125" s="413"/>
      <c r="AE125" s="413"/>
      <c r="AF125" s="413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</row>
    <row r="126" spans="1:42" s="157" customFormat="1" ht="5.25" customHeight="1">
      <c r="C126" s="197"/>
      <c r="E126" s="235"/>
      <c r="F126" s="235"/>
      <c r="G126" s="235"/>
      <c r="H126" s="236"/>
      <c r="I126" s="236"/>
      <c r="J126" s="236"/>
      <c r="K126" s="236"/>
      <c r="L126" s="236"/>
      <c r="N126" s="163"/>
      <c r="O126" s="284"/>
      <c r="P126" s="575"/>
      <c r="Q126" s="575"/>
      <c r="R126" s="575"/>
      <c r="S126" s="575"/>
      <c r="T126" s="575"/>
      <c r="U126" s="575"/>
      <c r="V126" s="575"/>
      <c r="W126" s="575"/>
      <c r="X126" s="396"/>
      <c r="Y126" s="396"/>
      <c r="Z126" s="396"/>
      <c r="AA126" s="396"/>
      <c r="AB126" s="405"/>
      <c r="AC126" s="403"/>
      <c r="AD126" s="413"/>
      <c r="AE126" s="413"/>
      <c r="AF126" s="413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</row>
    <row r="127" spans="1:42" s="157" customFormat="1" ht="12.75" customHeight="1">
      <c r="A127" s="230" t="s">
        <v>251</v>
      </c>
      <c r="B127" s="230"/>
      <c r="C127" s="230"/>
      <c r="D127" s="180" t="s">
        <v>240</v>
      </c>
      <c r="E127" s="180"/>
      <c r="F127" s="180"/>
      <c r="G127" s="180"/>
      <c r="H127" s="180"/>
      <c r="I127" s="180"/>
      <c r="J127" s="180"/>
      <c r="K127" s="180"/>
      <c r="M127" s="867">
        <f>D130</f>
        <v>1978000</v>
      </c>
      <c r="N127" s="867"/>
      <c r="O127" s="45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424"/>
      <c r="AC127" s="403"/>
      <c r="AD127" s="413"/>
      <c r="AE127" s="413"/>
      <c r="AF127" s="413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</row>
    <row r="128" spans="1:42" s="157" customFormat="1">
      <c r="A128" s="150" t="s">
        <v>241</v>
      </c>
      <c r="B128" s="230"/>
      <c r="C128" s="230"/>
      <c r="D128" s="143"/>
      <c r="E128" s="143"/>
      <c r="F128" s="143"/>
      <c r="G128" s="143"/>
      <c r="H128" s="143"/>
      <c r="I128" s="143"/>
      <c r="J128" s="143"/>
      <c r="K128" s="143"/>
      <c r="L128" s="221"/>
      <c r="M128" s="221"/>
      <c r="N128" s="221"/>
      <c r="O128" s="45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424"/>
      <c r="AC128" s="403"/>
      <c r="AD128" s="413"/>
      <c r="AE128" s="413"/>
      <c r="AF128" s="413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</row>
    <row r="129" spans="1:42" s="157" customFormat="1" ht="18" customHeight="1" thickBot="1">
      <c r="A129" s="883" t="s">
        <v>242</v>
      </c>
      <c r="B129" s="883"/>
      <c r="C129" s="883"/>
      <c r="D129" s="883" t="s">
        <v>243</v>
      </c>
      <c r="E129" s="883"/>
      <c r="F129" s="883"/>
      <c r="G129" s="883" t="s">
        <v>247</v>
      </c>
      <c r="H129" s="883"/>
      <c r="I129" s="883"/>
      <c r="J129" s="883"/>
      <c r="K129" s="883"/>
      <c r="L129" s="883"/>
      <c r="M129" s="883"/>
      <c r="N129" s="883"/>
      <c r="O129" s="46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429"/>
      <c r="AC129" s="403"/>
      <c r="AD129" s="413"/>
      <c r="AE129" s="413"/>
      <c r="AF129" s="413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</row>
    <row r="130" spans="1:42" s="157" customFormat="1" ht="18" customHeight="1" thickTop="1" thickBot="1">
      <c r="A130" s="945" t="s">
        <v>252</v>
      </c>
      <c r="B130" s="945"/>
      <c r="C130" s="945"/>
      <c r="D130" s="946">
        <v>1978000</v>
      </c>
      <c r="E130" s="946"/>
      <c r="F130" s="946"/>
      <c r="G130" s="947" t="s">
        <v>253</v>
      </c>
      <c r="H130" s="947"/>
      <c r="I130" s="947"/>
      <c r="J130" s="947"/>
      <c r="K130" s="947"/>
      <c r="L130" s="947"/>
      <c r="M130" s="947"/>
      <c r="N130" s="947"/>
      <c r="O130" s="226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431"/>
      <c r="AC130" s="403"/>
      <c r="AD130" s="413"/>
      <c r="AE130" s="413"/>
      <c r="AF130" s="413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</row>
    <row r="131" spans="1:42" s="157" customFormat="1" ht="3" customHeight="1" thickTop="1">
      <c r="A131" s="196"/>
      <c r="B131" s="196"/>
      <c r="C131" s="196"/>
      <c r="D131" s="163"/>
      <c r="E131" s="163"/>
      <c r="F131" s="163"/>
      <c r="G131" s="226"/>
      <c r="H131" s="226"/>
      <c r="I131" s="226"/>
      <c r="J131" s="226"/>
      <c r="K131" s="226"/>
      <c r="L131" s="226"/>
      <c r="M131" s="226"/>
      <c r="N131" s="226"/>
      <c r="O131" s="226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431"/>
      <c r="AC131" s="403"/>
      <c r="AD131" s="413"/>
      <c r="AE131" s="413"/>
      <c r="AF131" s="413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</row>
    <row r="132" spans="1:42" s="157" customFormat="1" ht="17.25" customHeight="1">
      <c r="A132" s="880" t="s">
        <v>95</v>
      </c>
      <c r="B132" s="880"/>
      <c r="C132" s="880"/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458"/>
      <c r="P132" s="371"/>
      <c r="Q132" s="371"/>
      <c r="R132" s="371"/>
      <c r="S132" s="371"/>
      <c r="T132" s="371"/>
      <c r="U132" s="371"/>
      <c r="V132" s="371"/>
      <c r="W132" s="371"/>
      <c r="X132" s="382"/>
      <c r="Y132" s="382"/>
      <c r="Z132" s="382"/>
      <c r="AA132" s="382"/>
      <c r="AB132" s="430"/>
      <c r="AC132" s="403"/>
      <c r="AD132" s="413"/>
      <c r="AE132" s="413"/>
      <c r="AF132" s="413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</row>
    <row r="133" spans="1:42" s="157" customFormat="1" ht="21.75" customHeight="1">
      <c r="A133" s="942">
        <f>M127</f>
        <v>1978000</v>
      </c>
      <c r="B133" s="942"/>
      <c r="C133" s="942"/>
      <c r="D133" s="198">
        <v>166370</v>
      </c>
      <c r="E133" s="233" t="s">
        <v>250</v>
      </c>
      <c r="F133" s="142" t="s">
        <v>229</v>
      </c>
      <c r="G133" s="860">
        <f>ROUND(A133/D133,2)</f>
        <v>11.89</v>
      </c>
      <c r="H133" s="860"/>
      <c r="I133" s="861"/>
      <c r="J133" s="861"/>
      <c r="K133" s="861"/>
      <c r="L133" s="861"/>
      <c r="M133" s="861"/>
      <c r="N133" s="861"/>
      <c r="O133" s="460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417"/>
      <c r="AC133" s="403"/>
      <c r="AD133" s="413"/>
      <c r="AE133" s="413"/>
      <c r="AF133" s="413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</row>
    <row r="134" spans="1:42" s="157" customFormat="1" ht="18.75" customHeight="1" thickBot="1">
      <c r="A134" s="823" t="s">
        <v>232</v>
      </c>
      <c r="B134" s="823"/>
      <c r="C134" s="234" t="s">
        <v>233</v>
      </c>
      <c r="D134" s="182" t="s">
        <v>234</v>
      </c>
      <c r="E134" s="882" t="s">
        <v>235</v>
      </c>
      <c r="F134" s="882"/>
      <c r="G134" s="882"/>
      <c r="H134" s="864" t="s">
        <v>236</v>
      </c>
      <c r="I134" s="865"/>
      <c r="J134" s="865"/>
      <c r="K134" s="865"/>
      <c r="L134" s="866"/>
      <c r="M134" s="882" t="s">
        <v>244</v>
      </c>
      <c r="N134" s="882"/>
      <c r="P134" s="399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403"/>
      <c r="AC134" s="403"/>
      <c r="AD134" s="413"/>
      <c r="AE134" s="413"/>
      <c r="AF134" s="413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</row>
    <row r="135" spans="1:42" s="157" customFormat="1" ht="18.75" customHeight="1" thickTop="1">
      <c r="A135" s="845">
        <v>79.319999999999993</v>
      </c>
      <c r="B135" s="845"/>
      <c r="C135" s="213">
        <v>258</v>
      </c>
      <c r="D135" s="821">
        <f>G133</f>
        <v>11.89</v>
      </c>
      <c r="E135" s="920">
        <f t="shared" ref="E135:E138" si="9">ROUND(A135*$D$135,-1)</f>
        <v>940</v>
      </c>
      <c r="F135" s="920"/>
      <c r="G135" s="920"/>
      <c r="H135" s="933">
        <f t="shared" ref="H135:H141" si="10">ROUND(E135*C135,0)</f>
        <v>242520</v>
      </c>
      <c r="I135" s="934"/>
      <c r="J135" s="934"/>
      <c r="K135" s="934"/>
      <c r="L135" s="935"/>
      <c r="M135" s="816"/>
      <c r="N135" s="816"/>
      <c r="O135" s="197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419"/>
      <c r="AC135" s="403"/>
      <c r="AD135" s="413"/>
      <c r="AE135" s="413"/>
      <c r="AF135" s="413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</row>
    <row r="136" spans="1:42" s="157" customFormat="1" ht="18.75" customHeight="1">
      <c r="A136" s="790">
        <v>92.54</v>
      </c>
      <c r="B136" s="790"/>
      <c r="C136" s="205">
        <v>196</v>
      </c>
      <c r="D136" s="821"/>
      <c r="E136" s="817">
        <f t="shared" si="9"/>
        <v>1100</v>
      </c>
      <c r="F136" s="817"/>
      <c r="G136" s="817"/>
      <c r="H136" s="836">
        <f t="shared" si="10"/>
        <v>215600</v>
      </c>
      <c r="I136" s="837"/>
      <c r="J136" s="837"/>
      <c r="K136" s="837"/>
      <c r="L136" s="838"/>
      <c r="M136" s="789"/>
      <c r="N136" s="789"/>
      <c r="O136" s="197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419"/>
      <c r="AC136" s="403"/>
      <c r="AD136" s="413"/>
      <c r="AE136" s="413"/>
      <c r="AF136" s="413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</row>
    <row r="137" spans="1:42" s="157" customFormat="1" ht="18.75" customHeight="1">
      <c r="A137" s="790">
        <v>109.07</v>
      </c>
      <c r="B137" s="790"/>
      <c r="C137" s="205">
        <v>815</v>
      </c>
      <c r="D137" s="821"/>
      <c r="E137" s="817">
        <f t="shared" si="9"/>
        <v>1300</v>
      </c>
      <c r="F137" s="817"/>
      <c r="G137" s="817"/>
      <c r="H137" s="836">
        <f t="shared" si="10"/>
        <v>1059500</v>
      </c>
      <c r="I137" s="837"/>
      <c r="J137" s="837"/>
      <c r="K137" s="837"/>
      <c r="L137" s="838"/>
      <c r="M137" s="789"/>
      <c r="N137" s="789"/>
      <c r="O137" s="197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419"/>
      <c r="AC137" s="403"/>
      <c r="AD137" s="413"/>
      <c r="AE137" s="413"/>
      <c r="AF137" s="413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</row>
    <row r="138" spans="1:42" s="157" customFormat="1" ht="18.75" customHeight="1">
      <c r="A138" s="790">
        <v>128.9</v>
      </c>
      <c r="B138" s="790"/>
      <c r="C138" s="205">
        <v>68</v>
      </c>
      <c r="D138" s="821"/>
      <c r="E138" s="817">
        <f t="shared" si="9"/>
        <v>1530</v>
      </c>
      <c r="F138" s="817"/>
      <c r="G138" s="817"/>
      <c r="H138" s="836">
        <f t="shared" si="10"/>
        <v>104040</v>
      </c>
      <c r="I138" s="837"/>
      <c r="J138" s="837"/>
      <c r="K138" s="837"/>
      <c r="L138" s="838"/>
      <c r="M138" s="789"/>
      <c r="N138" s="789"/>
      <c r="O138" s="197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419"/>
      <c r="AC138" s="403"/>
      <c r="AD138" s="413"/>
      <c r="AE138" s="413"/>
      <c r="AF138" s="413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</row>
    <row r="139" spans="1:42" s="157" customFormat="1" ht="18.75" customHeight="1">
      <c r="A139" s="790">
        <v>158.63999999999999</v>
      </c>
      <c r="B139" s="790"/>
      <c r="C139" s="205">
        <v>102</v>
      </c>
      <c r="D139" s="821"/>
      <c r="E139" s="817">
        <f t="shared" ref="E139:E141" si="11">ROUND(A139*$D$135,-1)</f>
        <v>1890</v>
      </c>
      <c r="F139" s="817"/>
      <c r="G139" s="817"/>
      <c r="H139" s="836">
        <f t="shared" si="10"/>
        <v>192780</v>
      </c>
      <c r="I139" s="837"/>
      <c r="J139" s="837"/>
      <c r="K139" s="837"/>
      <c r="L139" s="838"/>
      <c r="M139" s="789"/>
      <c r="N139" s="789"/>
      <c r="O139" s="197"/>
      <c r="P139" s="361">
        <v>11</v>
      </c>
      <c r="Q139" s="361" t="s">
        <v>295</v>
      </c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419"/>
      <c r="AC139" s="403"/>
      <c r="AD139" s="413"/>
      <c r="AE139" s="413"/>
      <c r="AF139" s="413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</row>
    <row r="140" spans="1:42" s="157" customFormat="1" ht="18.75" customHeight="1">
      <c r="A140" s="790">
        <v>188.39</v>
      </c>
      <c r="B140" s="790"/>
      <c r="C140" s="205">
        <v>34</v>
      </c>
      <c r="D140" s="821"/>
      <c r="E140" s="817">
        <f t="shared" si="11"/>
        <v>2240</v>
      </c>
      <c r="F140" s="817"/>
      <c r="G140" s="817"/>
      <c r="H140" s="836">
        <f t="shared" si="10"/>
        <v>76160</v>
      </c>
      <c r="I140" s="837"/>
      <c r="J140" s="837"/>
      <c r="K140" s="837"/>
      <c r="L140" s="838"/>
      <c r="M140" s="789"/>
      <c r="N140" s="789"/>
      <c r="O140" s="197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419"/>
      <c r="AC140" s="403"/>
      <c r="AD140" s="413"/>
      <c r="AE140" s="413"/>
      <c r="AF140" s="413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</row>
    <row r="141" spans="1:42" s="157" customFormat="1" ht="18.75" customHeight="1">
      <c r="A141" s="790">
        <v>221.44</v>
      </c>
      <c r="B141" s="790"/>
      <c r="C141" s="205">
        <v>34</v>
      </c>
      <c r="D141" s="822"/>
      <c r="E141" s="817">
        <f t="shared" si="11"/>
        <v>2630</v>
      </c>
      <c r="F141" s="817"/>
      <c r="G141" s="817"/>
      <c r="H141" s="836">
        <f t="shared" si="10"/>
        <v>89420</v>
      </c>
      <c r="I141" s="837"/>
      <c r="J141" s="837"/>
      <c r="K141" s="837"/>
      <c r="L141" s="838"/>
      <c r="M141" s="807"/>
      <c r="N141" s="807"/>
      <c r="O141" s="197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419"/>
      <c r="AC141" s="403"/>
      <c r="AD141" s="413"/>
      <c r="AE141" s="413"/>
      <c r="AF141" s="413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</row>
    <row r="142" spans="1:42" s="157" customFormat="1" ht="18.75" customHeight="1">
      <c r="A142" s="912" t="s">
        <v>192</v>
      </c>
      <c r="B142" s="912"/>
      <c r="C142" s="216">
        <f>SUM(C135:C141)</f>
        <v>1507</v>
      </c>
      <c r="D142" s="217"/>
      <c r="E142" s="817"/>
      <c r="F142" s="817"/>
      <c r="G142" s="817"/>
      <c r="H142" s="857">
        <f>SUM(H135:H141)</f>
        <v>1980020</v>
      </c>
      <c r="I142" s="858"/>
      <c r="J142" s="858"/>
      <c r="K142" s="858"/>
      <c r="L142" s="859"/>
      <c r="M142" s="177" t="s">
        <v>238</v>
      </c>
      <c r="N142" s="227">
        <f>H142-A133</f>
        <v>2020</v>
      </c>
      <c r="O142" s="284"/>
      <c r="P142" s="575"/>
      <c r="Q142" s="575"/>
      <c r="R142" s="575"/>
      <c r="S142" s="575"/>
      <c r="T142" s="575"/>
      <c r="U142" s="575"/>
      <c r="V142" s="575"/>
      <c r="W142" s="575"/>
      <c r="X142" s="396"/>
      <c r="Y142" s="396"/>
      <c r="Z142" s="396"/>
      <c r="AA142" s="396"/>
      <c r="AB142" s="405"/>
      <c r="AC142" s="403"/>
      <c r="AD142" s="413"/>
      <c r="AE142" s="413"/>
      <c r="AF142" s="413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</row>
    <row r="143" spans="1:42" s="157" customFormat="1" ht="12.75" customHeight="1">
      <c r="A143" s="288" t="s">
        <v>314</v>
      </c>
      <c r="B143" s="288"/>
      <c r="C143" s="288"/>
      <c r="D143" s="180" t="s">
        <v>179</v>
      </c>
      <c r="E143" s="180"/>
      <c r="F143" s="180"/>
      <c r="G143" s="180"/>
      <c r="H143" s="180"/>
      <c r="I143" s="180"/>
      <c r="J143" s="180"/>
      <c r="K143" s="180"/>
      <c r="M143" s="867">
        <f>D146</f>
        <v>660000</v>
      </c>
      <c r="N143" s="867"/>
      <c r="O143" s="45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424"/>
      <c r="AC143" s="403"/>
      <c r="AD143" s="413"/>
      <c r="AE143" s="413"/>
      <c r="AF143" s="413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</row>
    <row r="144" spans="1:42" s="157" customFormat="1">
      <c r="A144" s="150" t="s">
        <v>220</v>
      </c>
      <c r="B144" s="288"/>
      <c r="C144" s="288"/>
      <c r="D144" s="143"/>
      <c r="E144" s="143"/>
      <c r="F144" s="143"/>
      <c r="G144" s="143"/>
      <c r="H144" s="143"/>
      <c r="I144" s="143"/>
      <c r="J144" s="143"/>
      <c r="K144" s="143"/>
      <c r="L144" s="283"/>
      <c r="M144" s="283"/>
      <c r="N144" s="283"/>
      <c r="O144" s="45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424"/>
      <c r="AC144" s="403"/>
      <c r="AD144" s="413"/>
      <c r="AE144" s="413"/>
      <c r="AF144" s="413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</row>
    <row r="145" spans="1:42" s="157" customFormat="1" ht="17.25" customHeight="1" thickBot="1">
      <c r="A145" s="883" t="s">
        <v>223</v>
      </c>
      <c r="B145" s="883"/>
      <c r="C145" s="883"/>
      <c r="D145" s="883" t="s">
        <v>1</v>
      </c>
      <c r="E145" s="883"/>
      <c r="F145" s="883"/>
      <c r="G145" s="883" t="s">
        <v>247</v>
      </c>
      <c r="H145" s="883"/>
      <c r="I145" s="883"/>
      <c r="J145" s="883"/>
      <c r="K145" s="883"/>
      <c r="L145" s="883"/>
      <c r="M145" s="883"/>
      <c r="N145" s="883"/>
      <c r="O145" s="46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429"/>
      <c r="AC145" s="403"/>
      <c r="AD145" s="413"/>
      <c r="AE145" s="413"/>
      <c r="AF145" s="413"/>
      <c r="AG145" s="285"/>
      <c r="AH145" s="285"/>
      <c r="AI145" s="285"/>
      <c r="AJ145" s="285"/>
      <c r="AK145" s="285"/>
      <c r="AL145" s="285"/>
      <c r="AM145" s="285"/>
      <c r="AN145" s="285"/>
      <c r="AO145" s="285"/>
      <c r="AP145" s="285"/>
    </row>
    <row r="146" spans="1:42" s="157" customFormat="1" ht="27" customHeight="1" thickTop="1" thickBot="1">
      <c r="A146" s="945" t="s">
        <v>315</v>
      </c>
      <c r="B146" s="945"/>
      <c r="C146" s="945"/>
      <c r="D146" s="946">
        <v>660000</v>
      </c>
      <c r="E146" s="946"/>
      <c r="F146" s="946"/>
      <c r="G146" s="947" t="s">
        <v>316</v>
      </c>
      <c r="H146" s="947"/>
      <c r="I146" s="947"/>
      <c r="J146" s="947"/>
      <c r="K146" s="947"/>
      <c r="L146" s="947"/>
      <c r="M146" s="947"/>
      <c r="N146" s="947"/>
      <c r="O146" s="226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431"/>
      <c r="AC146" s="403"/>
      <c r="AD146" s="413"/>
      <c r="AE146" s="413"/>
      <c r="AF146" s="413"/>
      <c r="AG146" s="285"/>
      <c r="AH146" s="285"/>
      <c r="AI146" s="285"/>
      <c r="AJ146" s="285"/>
      <c r="AK146" s="285"/>
      <c r="AL146" s="285"/>
      <c r="AM146" s="285"/>
      <c r="AN146" s="285"/>
      <c r="AO146" s="285"/>
      <c r="AP146" s="285"/>
    </row>
    <row r="147" spans="1:42" s="157" customFormat="1" ht="3" customHeight="1" thickTop="1">
      <c r="A147" s="290"/>
      <c r="B147" s="290"/>
      <c r="C147" s="290"/>
      <c r="D147" s="284"/>
      <c r="E147" s="284"/>
      <c r="F147" s="284"/>
      <c r="G147" s="226"/>
      <c r="H147" s="226"/>
      <c r="I147" s="226"/>
      <c r="J147" s="226"/>
      <c r="K147" s="226"/>
      <c r="L147" s="226"/>
      <c r="M147" s="226"/>
      <c r="N147" s="226"/>
      <c r="O147" s="226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431"/>
      <c r="AC147" s="403"/>
      <c r="AD147" s="413"/>
      <c r="AE147" s="413"/>
      <c r="AF147" s="413"/>
      <c r="AG147" s="285"/>
      <c r="AH147" s="285"/>
      <c r="AI147" s="285"/>
      <c r="AJ147" s="285"/>
      <c r="AK147" s="285"/>
      <c r="AL147" s="285"/>
      <c r="AM147" s="285"/>
      <c r="AN147" s="285"/>
      <c r="AO147" s="285"/>
      <c r="AP147" s="285"/>
    </row>
    <row r="148" spans="1:42" s="157" customFormat="1" ht="18" customHeight="1">
      <c r="A148" s="880" t="s">
        <v>95</v>
      </c>
      <c r="B148" s="880"/>
      <c r="C148" s="880"/>
      <c r="D148" s="880"/>
      <c r="E148" s="880"/>
      <c r="F148" s="880"/>
      <c r="G148" s="880"/>
      <c r="H148" s="880"/>
      <c r="I148" s="880"/>
      <c r="J148" s="880"/>
      <c r="K148" s="880"/>
      <c r="L148" s="880"/>
      <c r="M148" s="880"/>
      <c r="N148" s="880"/>
      <c r="O148" s="458"/>
      <c r="P148" s="371"/>
      <c r="Q148" s="371"/>
      <c r="R148" s="371"/>
      <c r="S148" s="371"/>
      <c r="T148" s="371"/>
      <c r="U148" s="371"/>
      <c r="V148" s="371"/>
      <c r="W148" s="371"/>
      <c r="X148" s="382"/>
      <c r="Y148" s="382"/>
      <c r="Z148" s="382"/>
      <c r="AA148" s="382"/>
      <c r="AB148" s="430"/>
      <c r="AC148" s="403"/>
      <c r="AD148" s="413"/>
      <c r="AE148" s="413"/>
      <c r="AF148" s="413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</row>
    <row r="149" spans="1:42" s="157" customFormat="1" ht="16.5" customHeight="1">
      <c r="A149" s="942">
        <f>M143</f>
        <v>660000</v>
      </c>
      <c r="B149" s="942"/>
      <c r="C149" s="942"/>
      <c r="D149" s="198">
        <v>166370</v>
      </c>
      <c r="E149" s="233" t="s">
        <v>250</v>
      </c>
      <c r="F149" s="289" t="s">
        <v>205</v>
      </c>
      <c r="G149" s="860">
        <f>ROUND(A149/D149,2)</f>
        <v>3.97</v>
      </c>
      <c r="H149" s="860"/>
      <c r="I149" s="861"/>
      <c r="J149" s="861"/>
      <c r="K149" s="861"/>
      <c r="L149" s="861"/>
      <c r="M149" s="861"/>
      <c r="N149" s="861"/>
      <c r="O149" s="460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417"/>
      <c r="AC149" s="403"/>
      <c r="AD149" s="413"/>
      <c r="AE149" s="413"/>
      <c r="AF149" s="413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</row>
    <row r="150" spans="1:42" s="157" customFormat="1" ht="18" customHeight="1" thickBot="1">
      <c r="A150" s="823" t="s">
        <v>208</v>
      </c>
      <c r="B150" s="823"/>
      <c r="C150" s="234" t="s">
        <v>209</v>
      </c>
      <c r="D150" s="282" t="s">
        <v>210</v>
      </c>
      <c r="E150" s="882" t="s">
        <v>211</v>
      </c>
      <c r="F150" s="882"/>
      <c r="G150" s="882"/>
      <c r="H150" s="864" t="s">
        <v>212</v>
      </c>
      <c r="I150" s="865"/>
      <c r="J150" s="865"/>
      <c r="K150" s="865"/>
      <c r="L150" s="866"/>
      <c r="M150" s="882" t="s">
        <v>225</v>
      </c>
      <c r="N150" s="882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403"/>
      <c r="AC150" s="403"/>
      <c r="AD150" s="413"/>
      <c r="AE150" s="413"/>
      <c r="AF150" s="413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</row>
    <row r="151" spans="1:42" s="157" customFormat="1" ht="18" customHeight="1" thickTop="1">
      <c r="A151" s="845">
        <v>79.319999999999993</v>
      </c>
      <c r="B151" s="845"/>
      <c r="C151" s="213">
        <v>258</v>
      </c>
      <c r="D151" s="821">
        <f>G149</f>
        <v>3.97</v>
      </c>
      <c r="E151" s="920">
        <f t="shared" ref="E151" si="12">ROUND(A151*$D$151,-1)</f>
        <v>310</v>
      </c>
      <c r="F151" s="920"/>
      <c r="G151" s="920"/>
      <c r="H151" s="933">
        <f>ROUND(E151*C151,0)</f>
        <v>79980</v>
      </c>
      <c r="I151" s="934"/>
      <c r="J151" s="934"/>
      <c r="K151" s="934"/>
      <c r="L151" s="935"/>
      <c r="M151" s="816"/>
      <c r="N151" s="816"/>
      <c r="O151" s="197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419"/>
      <c r="AC151" s="403"/>
      <c r="AD151" s="413"/>
      <c r="AE151" s="413"/>
      <c r="AF151" s="413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</row>
    <row r="152" spans="1:42" s="157" customFormat="1" ht="18" customHeight="1">
      <c r="A152" s="790">
        <v>92.54</v>
      </c>
      <c r="B152" s="790"/>
      <c r="C152" s="205">
        <v>196</v>
      </c>
      <c r="D152" s="821"/>
      <c r="E152" s="920">
        <f t="shared" ref="E152:E157" si="13">ROUND(A152*$D$151,-1)</f>
        <v>370</v>
      </c>
      <c r="F152" s="920"/>
      <c r="G152" s="920"/>
      <c r="H152" s="836">
        <f t="shared" ref="H152:H157" si="14">ROUND(E152*C152,0)</f>
        <v>72520</v>
      </c>
      <c r="I152" s="837"/>
      <c r="J152" s="837"/>
      <c r="K152" s="837"/>
      <c r="L152" s="838"/>
      <c r="M152" s="789"/>
      <c r="N152" s="789"/>
      <c r="O152" s="197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419"/>
      <c r="AC152" s="403"/>
      <c r="AD152" s="413"/>
      <c r="AE152" s="413"/>
      <c r="AF152" s="413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</row>
    <row r="153" spans="1:42" s="157" customFormat="1" ht="18" customHeight="1">
      <c r="A153" s="790">
        <v>109.07</v>
      </c>
      <c r="B153" s="790"/>
      <c r="C153" s="205">
        <v>815</v>
      </c>
      <c r="D153" s="821"/>
      <c r="E153" s="920">
        <f t="shared" si="13"/>
        <v>430</v>
      </c>
      <c r="F153" s="920"/>
      <c r="G153" s="920"/>
      <c r="H153" s="836">
        <f t="shared" si="14"/>
        <v>350450</v>
      </c>
      <c r="I153" s="837"/>
      <c r="J153" s="837"/>
      <c r="K153" s="837"/>
      <c r="L153" s="838"/>
      <c r="M153" s="789"/>
      <c r="N153" s="789"/>
      <c r="O153" s="197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419"/>
      <c r="AC153" s="403"/>
      <c r="AD153" s="413"/>
      <c r="AE153" s="413"/>
      <c r="AF153" s="413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</row>
    <row r="154" spans="1:42" s="157" customFormat="1" ht="18" customHeight="1">
      <c r="A154" s="790">
        <v>128.9</v>
      </c>
      <c r="B154" s="790"/>
      <c r="C154" s="205">
        <v>68</v>
      </c>
      <c r="D154" s="821"/>
      <c r="E154" s="920">
        <f t="shared" si="13"/>
        <v>510</v>
      </c>
      <c r="F154" s="920"/>
      <c r="G154" s="920"/>
      <c r="H154" s="836">
        <f t="shared" si="14"/>
        <v>34680</v>
      </c>
      <c r="I154" s="837"/>
      <c r="J154" s="837"/>
      <c r="K154" s="837"/>
      <c r="L154" s="838"/>
      <c r="M154" s="789"/>
      <c r="N154" s="789"/>
      <c r="O154" s="197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419"/>
      <c r="AC154" s="403"/>
      <c r="AD154" s="413"/>
      <c r="AE154" s="413"/>
      <c r="AF154" s="413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</row>
    <row r="155" spans="1:42" s="157" customFormat="1" ht="18" customHeight="1">
      <c r="A155" s="790">
        <v>158.63999999999999</v>
      </c>
      <c r="B155" s="790"/>
      <c r="C155" s="205">
        <v>102</v>
      </c>
      <c r="D155" s="821"/>
      <c r="E155" s="920">
        <f t="shared" si="13"/>
        <v>630</v>
      </c>
      <c r="F155" s="920"/>
      <c r="G155" s="920"/>
      <c r="H155" s="836">
        <f t="shared" si="14"/>
        <v>64260</v>
      </c>
      <c r="I155" s="837"/>
      <c r="J155" s="837"/>
      <c r="K155" s="837"/>
      <c r="L155" s="838"/>
      <c r="M155" s="789"/>
      <c r="N155" s="789"/>
      <c r="O155" s="197"/>
      <c r="P155" s="361">
        <v>11</v>
      </c>
      <c r="Q155" s="361" t="s">
        <v>295</v>
      </c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419"/>
      <c r="AC155" s="403"/>
      <c r="AD155" s="413"/>
      <c r="AE155" s="413"/>
      <c r="AF155" s="413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</row>
    <row r="156" spans="1:42" s="157" customFormat="1" ht="18" customHeight="1">
      <c r="A156" s="790">
        <v>188.39</v>
      </c>
      <c r="B156" s="790"/>
      <c r="C156" s="205">
        <v>34</v>
      </c>
      <c r="D156" s="821"/>
      <c r="E156" s="920">
        <f t="shared" si="13"/>
        <v>750</v>
      </c>
      <c r="F156" s="920"/>
      <c r="G156" s="920"/>
      <c r="H156" s="836">
        <f t="shared" si="14"/>
        <v>25500</v>
      </c>
      <c r="I156" s="837"/>
      <c r="J156" s="837"/>
      <c r="K156" s="837"/>
      <c r="L156" s="838"/>
      <c r="M156" s="789"/>
      <c r="N156" s="789"/>
      <c r="O156" s="197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419"/>
      <c r="AC156" s="403"/>
      <c r="AD156" s="413"/>
      <c r="AE156" s="413"/>
      <c r="AF156" s="413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</row>
    <row r="157" spans="1:42" s="157" customFormat="1" ht="18" customHeight="1">
      <c r="A157" s="790">
        <v>221.44</v>
      </c>
      <c r="B157" s="790"/>
      <c r="C157" s="205">
        <v>34</v>
      </c>
      <c r="D157" s="822"/>
      <c r="E157" s="920">
        <f t="shared" si="13"/>
        <v>880</v>
      </c>
      <c r="F157" s="920"/>
      <c r="G157" s="920"/>
      <c r="H157" s="836">
        <f t="shared" si="14"/>
        <v>29920</v>
      </c>
      <c r="I157" s="837"/>
      <c r="J157" s="837"/>
      <c r="K157" s="837"/>
      <c r="L157" s="838"/>
      <c r="M157" s="807"/>
      <c r="N157" s="807"/>
      <c r="O157" s="197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419"/>
      <c r="AC157" s="403"/>
      <c r="AD157" s="413"/>
      <c r="AE157" s="413"/>
      <c r="AF157" s="413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</row>
    <row r="158" spans="1:42" s="157" customFormat="1" ht="31.5" customHeight="1">
      <c r="A158" s="912" t="s">
        <v>192</v>
      </c>
      <c r="B158" s="912"/>
      <c r="C158" s="281">
        <f>SUM(C151:C157)</f>
        <v>1507</v>
      </c>
      <c r="D158" s="287"/>
      <c r="E158" s="817"/>
      <c r="F158" s="817"/>
      <c r="G158" s="817"/>
      <c r="H158" s="857">
        <f>SUM(H151:H157)</f>
        <v>657310</v>
      </c>
      <c r="I158" s="858"/>
      <c r="J158" s="858"/>
      <c r="K158" s="858"/>
      <c r="L158" s="859"/>
      <c r="M158" s="286" t="s">
        <v>92</v>
      </c>
      <c r="N158" s="280">
        <f>H158-A149</f>
        <v>-2690</v>
      </c>
      <c r="O158" s="284"/>
      <c r="P158" s="575"/>
      <c r="Q158" s="575"/>
      <c r="R158" s="575"/>
      <c r="S158" s="575"/>
      <c r="T158" s="575"/>
      <c r="U158" s="575"/>
      <c r="V158" s="575"/>
      <c r="W158" s="575"/>
      <c r="X158" s="396"/>
      <c r="Y158" s="396"/>
      <c r="Z158" s="396"/>
      <c r="AA158" s="396"/>
      <c r="AB158" s="405"/>
      <c r="AC158" s="403"/>
      <c r="AD158" s="413"/>
      <c r="AE158" s="413"/>
      <c r="AF158" s="413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</row>
    <row r="159" spans="1:42" s="157" customFormat="1" ht="7.5" customHeight="1">
      <c r="C159" s="197"/>
      <c r="E159" s="284"/>
      <c r="F159" s="284"/>
      <c r="G159" s="284"/>
      <c r="H159" s="197"/>
      <c r="I159" s="197"/>
      <c r="J159" s="197"/>
      <c r="K159" s="197"/>
      <c r="L159" s="197"/>
      <c r="N159" s="284"/>
      <c r="O159" s="284"/>
      <c r="P159" s="575"/>
      <c r="Q159" s="575"/>
      <c r="R159" s="575"/>
      <c r="S159" s="575"/>
      <c r="T159" s="575"/>
      <c r="U159" s="575"/>
      <c r="V159" s="575"/>
      <c r="W159" s="575"/>
      <c r="X159" s="396"/>
      <c r="Y159" s="396"/>
      <c r="Z159" s="396"/>
      <c r="AA159" s="396"/>
      <c r="AB159" s="405"/>
      <c r="AC159" s="403"/>
      <c r="AD159" s="413"/>
      <c r="AE159" s="413"/>
      <c r="AF159" s="413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</row>
    <row r="160" spans="1:42" s="157" customFormat="1" ht="13.5" customHeight="1">
      <c r="A160" s="288" t="s">
        <v>317</v>
      </c>
      <c r="B160" s="230"/>
      <c r="C160" s="230"/>
      <c r="D160" s="180" t="s">
        <v>240</v>
      </c>
      <c r="E160" s="180"/>
      <c r="F160" s="180"/>
      <c r="G160" s="180"/>
      <c r="H160" s="180"/>
      <c r="I160" s="180"/>
      <c r="J160" s="180"/>
      <c r="K160" s="180"/>
      <c r="M160" s="867">
        <f>H180</f>
        <v>6914800</v>
      </c>
      <c r="N160" s="867"/>
      <c r="O160" s="45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424"/>
      <c r="AC160" s="403"/>
      <c r="AD160" s="413"/>
      <c r="AE160" s="413"/>
      <c r="AF160" s="413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</row>
    <row r="161" spans="1:42" s="157" customFormat="1" ht="14.25" customHeight="1">
      <c r="A161" s="150" t="s">
        <v>241</v>
      </c>
      <c r="B161" s="230"/>
      <c r="C161" s="230"/>
      <c r="D161" s="143"/>
      <c r="E161" s="143"/>
      <c r="F161" s="143"/>
      <c r="G161" s="143"/>
      <c r="H161" s="143"/>
      <c r="I161" s="143"/>
      <c r="J161" s="143"/>
      <c r="K161" s="143"/>
      <c r="L161" s="221"/>
      <c r="M161" s="221"/>
      <c r="N161" s="221"/>
      <c r="O161" s="45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424"/>
      <c r="AC161" s="403"/>
      <c r="AD161" s="413"/>
      <c r="AE161" s="413"/>
      <c r="AF161" s="413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</row>
    <row r="162" spans="1:42" s="157" customFormat="1" ht="14.25" customHeight="1" thickBot="1">
      <c r="A162" s="959" t="s">
        <v>254</v>
      </c>
      <c r="B162" s="960"/>
      <c r="C162" s="961"/>
      <c r="D162" s="959" t="s">
        <v>255</v>
      </c>
      <c r="E162" s="960"/>
      <c r="F162" s="960"/>
      <c r="G162" s="961"/>
      <c r="H162" s="959" t="s">
        <v>256</v>
      </c>
      <c r="I162" s="960"/>
      <c r="J162" s="960"/>
      <c r="K162" s="961"/>
      <c r="L162" s="959" t="s">
        <v>257</v>
      </c>
      <c r="M162" s="960"/>
      <c r="N162" s="961"/>
      <c r="O162" s="46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429"/>
      <c r="AC162" s="403"/>
      <c r="AD162" s="413"/>
      <c r="AE162" s="413"/>
      <c r="AF162" s="413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</row>
    <row r="163" spans="1:42" s="157" customFormat="1" ht="17.25" customHeight="1" thickTop="1">
      <c r="A163" s="897" t="s">
        <v>258</v>
      </c>
      <c r="B163" s="898"/>
      <c r="C163" s="899"/>
      <c r="D163" s="906" t="s">
        <v>363</v>
      </c>
      <c r="E163" s="907"/>
      <c r="F163" s="907"/>
      <c r="G163" s="908"/>
      <c r="H163" s="889">
        <v>541670</v>
      </c>
      <c r="I163" s="890"/>
      <c r="J163" s="890"/>
      <c r="K163" s="891"/>
      <c r="L163" s="893" t="s">
        <v>714</v>
      </c>
      <c r="M163" s="894"/>
      <c r="N163" s="895"/>
      <c r="O163" s="46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429"/>
      <c r="AC163" s="403"/>
      <c r="AD163" s="413"/>
      <c r="AE163" s="413"/>
      <c r="AF163" s="413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</row>
    <row r="164" spans="1:42" s="157" customFormat="1" ht="17.25" customHeight="1">
      <c r="A164" s="900"/>
      <c r="B164" s="901"/>
      <c r="C164" s="902"/>
      <c r="D164" s="909" t="s">
        <v>364</v>
      </c>
      <c r="E164" s="910"/>
      <c r="F164" s="910"/>
      <c r="G164" s="911"/>
      <c r="H164" s="892">
        <v>125000</v>
      </c>
      <c r="I164" s="892"/>
      <c r="J164" s="892"/>
      <c r="K164" s="892"/>
      <c r="L164" s="896" t="str">
        <f>L163</f>
        <v>12개월분할부과(9/12)</v>
      </c>
      <c r="M164" s="896"/>
      <c r="N164" s="896"/>
      <c r="O164" s="46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429"/>
      <c r="AC164" s="403"/>
      <c r="AD164" s="413"/>
      <c r="AE164" s="413"/>
      <c r="AF164" s="413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</row>
    <row r="165" spans="1:42" s="157" customFormat="1" ht="17.25" customHeight="1">
      <c r="A165" s="900"/>
      <c r="B165" s="901"/>
      <c r="C165" s="902"/>
      <c r="D165" s="909" t="s">
        <v>365</v>
      </c>
      <c r="E165" s="910"/>
      <c r="F165" s="910"/>
      <c r="G165" s="911"/>
      <c r="H165" s="892">
        <v>500000</v>
      </c>
      <c r="I165" s="892"/>
      <c r="J165" s="892"/>
      <c r="K165" s="892"/>
      <c r="L165" s="896" t="str">
        <f>L163</f>
        <v>12개월분할부과(9/12)</v>
      </c>
      <c r="M165" s="896"/>
      <c r="N165" s="896"/>
      <c r="O165" s="46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429"/>
      <c r="AC165" s="403"/>
      <c r="AD165" s="413"/>
      <c r="AE165" s="413"/>
      <c r="AF165" s="413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</row>
    <row r="166" spans="1:42" s="157" customFormat="1" ht="17.25" customHeight="1">
      <c r="A166" s="900"/>
      <c r="B166" s="901"/>
      <c r="C166" s="902"/>
      <c r="D166" s="909" t="s">
        <v>715</v>
      </c>
      <c r="E166" s="910"/>
      <c r="F166" s="910"/>
      <c r="G166" s="911"/>
      <c r="H166" s="892">
        <v>100000</v>
      </c>
      <c r="I166" s="892"/>
      <c r="J166" s="892"/>
      <c r="K166" s="892"/>
      <c r="L166" s="896" t="str">
        <f>L164</f>
        <v>12개월분할부과(9/12)</v>
      </c>
      <c r="M166" s="896"/>
      <c r="N166" s="896"/>
      <c r="O166" s="46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429"/>
      <c r="AC166" s="403"/>
      <c r="AD166" s="413"/>
      <c r="AE166" s="413"/>
      <c r="AF166" s="413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</row>
    <row r="167" spans="1:42" s="157" customFormat="1" ht="17.25" customHeight="1">
      <c r="A167" s="903"/>
      <c r="B167" s="904"/>
      <c r="C167" s="905"/>
      <c r="D167" s="909" t="s">
        <v>366</v>
      </c>
      <c r="E167" s="910"/>
      <c r="F167" s="910"/>
      <c r="G167" s="911"/>
      <c r="H167" s="892">
        <v>125000</v>
      </c>
      <c r="I167" s="892"/>
      <c r="J167" s="892"/>
      <c r="K167" s="892"/>
      <c r="L167" s="896" t="str">
        <f>L163</f>
        <v>12개월분할부과(9/12)</v>
      </c>
      <c r="M167" s="896"/>
      <c r="N167" s="896"/>
      <c r="O167" s="197">
        <f>H163+H164+H165+H166+H167</f>
        <v>1391670</v>
      </c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429"/>
      <c r="AC167" s="403"/>
      <c r="AD167" s="413"/>
      <c r="AE167" s="413"/>
      <c r="AF167" s="413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</row>
    <row r="168" spans="1:42" s="157" customFormat="1" ht="17.25" customHeight="1">
      <c r="A168" s="1080" t="s">
        <v>379</v>
      </c>
      <c r="B168" s="1081"/>
      <c r="C168" s="1081"/>
      <c r="D168" s="948" t="s">
        <v>406</v>
      </c>
      <c r="E168" s="949"/>
      <c r="F168" s="949"/>
      <c r="G168" s="950"/>
      <c r="H168" s="951">
        <v>422400</v>
      </c>
      <c r="I168" s="952"/>
      <c r="J168" s="952"/>
      <c r="K168" s="953"/>
      <c r="L168" s="954" t="s">
        <v>712</v>
      </c>
      <c r="M168" s="955"/>
      <c r="N168" s="956"/>
      <c r="O168" s="46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429"/>
      <c r="AC168" s="403"/>
      <c r="AD168" s="413"/>
      <c r="AE168" s="413"/>
      <c r="AF168" s="413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</row>
    <row r="169" spans="1:42" s="157" customFormat="1" ht="17.25" customHeight="1">
      <c r="A169" s="1082"/>
      <c r="B169" s="1083"/>
      <c r="C169" s="1083"/>
      <c r="D169" s="948" t="s">
        <v>428</v>
      </c>
      <c r="E169" s="949"/>
      <c r="F169" s="949"/>
      <c r="G169" s="950"/>
      <c r="H169" s="951">
        <v>1100000</v>
      </c>
      <c r="I169" s="952"/>
      <c r="J169" s="952"/>
      <c r="K169" s="953"/>
      <c r="L169" s="954" t="s">
        <v>713</v>
      </c>
      <c r="M169" s="955"/>
      <c r="N169" s="956"/>
      <c r="O169" s="46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429"/>
      <c r="AC169" s="403"/>
      <c r="AD169" s="413"/>
      <c r="AE169" s="413"/>
      <c r="AF169" s="413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</row>
    <row r="170" spans="1:42" s="157" customFormat="1" ht="17.25" customHeight="1">
      <c r="A170" s="1082"/>
      <c r="B170" s="1083"/>
      <c r="C170" s="1083"/>
      <c r="D170" s="962" t="s">
        <v>407</v>
      </c>
      <c r="E170" s="963"/>
      <c r="F170" s="963"/>
      <c r="G170" s="964"/>
      <c r="H170" s="951">
        <v>540830</v>
      </c>
      <c r="I170" s="952"/>
      <c r="J170" s="952"/>
      <c r="K170" s="953"/>
      <c r="L170" s="954" t="s">
        <v>712</v>
      </c>
      <c r="M170" s="955"/>
      <c r="N170" s="956"/>
      <c r="O170" s="46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429"/>
      <c r="AC170" s="403"/>
      <c r="AD170" s="413"/>
      <c r="AE170" s="413"/>
      <c r="AF170" s="413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</row>
    <row r="171" spans="1:42" s="157" customFormat="1" ht="17.25" customHeight="1">
      <c r="A171" s="1082"/>
      <c r="B171" s="1083"/>
      <c r="C171" s="1083"/>
      <c r="D171" s="948" t="s">
        <v>775</v>
      </c>
      <c r="E171" s="949"/>
      <c r="F171" s="949"/>
      <c r="G171" s="950"/>
      <c r="H171" s="951">
        <v>471900</v>
      </c>
      <c r="I171" s="952"/>
      <c r="J171" s="952"/>
      <c r="K171" s="953"/>
      <c r="L171" s="954" t="s">
        <v>776</v>
      </c>
      <c r="M171" s="955"/>
      <c r="N171" s="956"/>
      <c r="O171" s="46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429"/>
      <c r="AC171" s="403"/>
      <c r="AD171" s="457"/>
      <c r="AE171" s="457"/>
      <c r="AF171" s="457"/>
      <c r="AG171" s="456"/>
      <c r="AH171" s="456"/>
      <c r="AI171" s="456"/>
      <c r="AJ171" s="456"/>
      <c r="AK171" s="456"/>
      <c r="AL171" s="456"/>
      <c r="AM171" s="456"/>
      <c r="AN171" s="456"/>
      <c r="AO171" s="456"/>
      <c r="AP171" s="456"/>
    </row>
    <row r="172" spans="1:42" s="157" customFormat="1" ht="17.25" customHeight="1">
      <c r="A172" s="1082"/>
      <c r="B172" s="1083"/>
      <c r="C172" s="1083"/>
      <c r="D172" s="962" t="s">
        <v>716</v>
      </c>
      <c r="E172" s="963"/>
      <c r="F172" s="963"/>
      <c r="G172" s="964"/>
      <c r="H172" s="951">
        <f>143000+330000+275000</f>
        <v>748000</v>
      </c>
      <c r="I172" s="952"/>
      <c r="J172" s="952"/>
      <c r="K172" s="953"/>
      <c r="L172" s="954"/>
      <c r="M172" s="955"/>
      <c r="N172" s="956"/>
      <c r="O172" s="46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429"/>
      <c r="AC172" s="403"/>
      <c r="AD172" s="413"/>
      <c r="AE172" s="413"/>
      <c r="AF172" s="413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</row>
    <row r="173" spans="1:42" s="157" customFormat="1" ht="17.25" customHeight="1">
      <c r="A173" s="1082"/>
      <c r="B173" s="1083"/>
      <c r="C173" s="1083"/>
      <c r="D173" s="948" t="s">
        <v>717</v>
      </c>
      <c r="E173" s="949"/>
      <c r="F173" s="949"/>
      <c r="G173" s="950"/>
      <c r="H173" s="951">
        <v>187000</v>
      </c>
      <c r="I173" s="952"/>
      <c r="J173" s="952"/>
      <c r="K173" s="953"/>
      <c r="L173" s="954"/>
      <c r="M173" s="955"/>
      <c r="N173" s="956"/>
      <c r="O173" s="485"/>
      <c r="P173" s="387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435"/>
      <c r="AC173" s="419"/>
      <c r="AD173" s="413"/>
      <c r="AE173" s="413"/>
      <c r="AF173" s="413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</row>
    <row r="174" spans="1:42" s="157" customFormat="1" ht="17.25" customHeight="1">
      <c r="A174" s="1082"/>
      <c r="B174" s="1083"/>
      <c r="C174" s="1083"/>
      <c r="D174" s="948" t="s">
        <v>718</v>
      </c>
      <c r="E174" s="949"/>
      <c r="F174" s="949"/>
      <c r="G174" s="950"/>
      <c r="H174" s="951">
        <v>935000</v>
      </c>
      <c r="I174" s="952"/>
      <c r="J174" s="952"/>
      <c r="K174" s="953"/>
      <c r="L174" s="954"/>
      <c r="M174" s="955"/>
      <c r="N174" s="956"/>
      <c r="O174" s="485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435"/>
      <c r="AC174" s="419"/>
      <c r="AD174" s="413"/>
      <c r="AE174" s="413"/>
      <c r="AF174" s="413"/>
      <c r="AG174" s="271"/>
      <c r="AH174" s="271"/>
      <c r="AI174" s="271"/>
      <c r="AJ174" s="271"/>
      <c r="AK174" s="271"/>
      <c r="AL174" s="271"/>
      <c r="AM174" s="271"/>
      <c r="AN174" s="271"/>
      <c r="AO174" s="271"/>
      <c r="AP174" s="271"/>
    </row>
    <row r="175" spans="1:42" s="157" customFormat="1" ht="17.25" customHeight="1">
      <c r="A175" s="1082"/>
      <c r="B175" s="1083"/>
      <c r="C175" s="1083"/>
      <c r="D175" s="948" t="s">
        <v>719</v>
      </c>
      <c r="E175" s="949"/>
      <c r="F175" s="949"/>
      <c r="G175" s="950"/>
      <c r="H175" s="951">
        <v>220000</v>
      </c>
      <c r="I175" s="952"/>
      <c r="J175" s="952"/>
      <c r="K175" s="953"/>
      <c r="L175" s="954"/>
      <c r="M175" s="955"/>
      <c r="N175" s="956"/>
      <c r="O175" s="485"/>
      <c r="P175" s="387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435"/>
      <c r="AC175" s="419"/>
      <c r="AD175" s="413"/>
      <c r="AE175" s="413"/>
      <c r="AF175" s="413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277"/>
    </row>
    <row r="176" spans="1:42" s="157" customFormat="1" ht="17.25" customHeight="1">
      <c r="A176" s="1082"/>
      <c r="B176" s="1083"/>
      <c r="C176" s="1083"/>
      <c r="D176" s="948" t="s">
        <v>720</v>
      </c>
      <c r="E176" s="949"/>
      <c r="F176" s="949"/>
      <c r="G176" s="950"/>
      <c r="H176" s="951">
        <v>495000</v>
      </c>
      <c r="I176" s="952"/>
      <c r="J176" s="952"/>
      <c r="K176" s="953"/>
      <c r="L176" s="954"/>
      <c r="M176" s="955"/>
      <c r="N176" s="956"/>
      <c r="O176" s="237"/>
      <c r="P176" s="1067"/>
      <c r="Q176" s="1067"/>
      <c r="R176" s="1067"/>
      <c r="S176" s="1067"/>
      <c r="T176" s="1068"/>
      <c r="U176" s="1068"/>
      <c r="V176" s="1068"/>
      <c r="W176" s="1068"/>
      <c r="X176" s="388"/>
      <c r="Y176" s="388"/>
      <c r="Z176" s="388"/>
      <c r="AA176" s="388"/>
      <c r="AB176" s="436"/>
      <c r="AC176" s="403"/>
      <c r="AD176" s="413"/>
      <c r="AE176" s="413"/>
      <c r="AF176" s="413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</row>
    <row r="177" spans="1:42" s="157" customFormat="1" ht="17.25" customHeight="1">
      <c r="A177" s="1082"/>
      <c r="B177" s="1083"/>
      <c r="C177" s="1083"/>
      <c r="D177" s="962" t="s">
        <v>721</v>
      </c>
      <c r="E177" s="963"/>
      <c r="F177" s="963"/>
      <c r="G177" s="964"/>
      <c r="H177" s="951">
        <f>121000+121000</f>
        <v>242000</v>
      </c>
      <c r="I177" s="952"/>
      <c r="J177" s="952"/>
      <c r="K177" s="953"/>
      <c r="L177" s="954"/>
      <c r="M177" s="955"/>
      <c r="N177" s="956"/>
      <c r="O177" s="46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429"/>
      <c r="AC177" s="403"/>
      <c r="AD177" s="413"/>
      <c r="AE177" s="413"/>
      <c r="AF177" s="413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</row>
    <row r="178" spans="1:42" s="157" customFormat="1" ht="17.25" customHeight="1">
      <c r="A178" s="1082"/>
      <c r="B178" s="1083"/>
      <c r="C178" s="1083"/>
      <c r="D178" s="962" t="s">
        <v>722</v>
      </c>
      <c r="E178" s="963"/>
      <c r="F178" s="963"/>
      <c r="G178" s="964"/>
      <c r="H178" s="951">
        <v>132000</v>
      </c>
      <c r="I178" s="952"/>
      <c r="J178" s="952"/>
      <c r="K178" s="953"/>
      <c r="L178" s="954"/>
      <c r="M178" s="955"/>
      <c r="N178" s="956"/>
      <c r="O178" s="485"/>
      <c r="P178" s="387"/>
      <c r="Q178" s="387"/>
      <c r="R178" s="387"/>
      <c r="S178" s="387"/>
      <c r="T178" s="387"/>
      <c r="U178" s="387"/>
      <c r="V178" s="387"/>
      <c r="W178" s="387"/>
      <c r="X178" s="387"/>
      <c r="Y178" s="387"/>
      <c r="Z178" s="387"/>
      <c r="AA178" s="387"/>
      <c r="AB178" s="435"/>
      <c r="AC178" s="419"/>
      <c r="AD178" s="413"/>
      <c r="AE178" s="413"/>
      <c r="AF178" s="413"/>
      <c r="AG178" s="295"/>
      <c r="AH178" s="295"/>
      <c r="AI178" s="295"/>
      <c r="AJ178" s="295"/>
      <c r="AK178" s="295"/>
      <c r="AL178" s="295"/>
      <c r="AM178" s="295"/>
      <c r="AN178" s="295"/>
      <c r="AO178" s="295"/>
      <c r="AP178" s="295"/>
    </row>
    <row r="179" spans="1:42" s="157" customFormat="1" ht="17.25" customHeight="1">
      <c r="A179" s="1082"/>
      <c r="B179" s="1083"/>
      <c r="C179" s="1083"/>
      <c r="D179" s="948" t="s">
        <v>723</v>
      </c>
      <c r="E179" s="949"/>
      <c r="F179" s="949"/>
      <c r="G179" s="950"/>
      <c r="H179" s="951">
        <v>29000</v>
      </c>
      <c r="I179" s="952"/>
      <c r="J179" s="952"/>
      <c r="K179" s="953"/>
      <c r="L179" s="954"/>
      <c r="M179" s="955"/>
      <c r="N179" s="956"/>
      <c r="O179" s="485">
        <f>SUM(H168:K179)</f>
        <v>5523130</v>
      </c>
      <c r="P179" s="387"/>
      <c r="Q179" s="387"/>
      <c r="R179" s="387"/>
      <c r="S179" s="387"/>
      <c r="T179" s="387"/>
      <c r="U179" s="387"/>
      <c r="V179" s="387"/>
      <c r="W179" s="387"/>
      <c r="X179" s="387"/>
      <c r="Y179" s="387"/>
      <c r="Z179" s="387"/>
      <c r="AA179" s="387"/>
      <c r="AB179" s="435"/>
      <c r="AC179" s="419"/>
      <c r="AD179" s="413"/>
      <c r="AE179" s="413"/>
      <c r="AF179" s="413"/>
      <c r="AG179" s="257"/>
      <c r="AH179" s="257"/>
      <c r="AI179" s="257"/>
      <c r="AJ179" s="257"/>
      <c r="AK179" s="257"/>
      <c r="AL179" s="257"/>
      <c r="AM179" s="257"/>
      <c r="AN179" s="257"/>
      <c r="AO179" s="257"/>
      <c r="AP179" s="257"/>
    </row>
    <row r="180" spans="1:42" s="157" customFormat="1" ht="20.25" customHeight="1">
      <c r="A180" s="965" t="s">
        <v>259</v>
      </c>
      <c r="B180" s="966"/>
      <c r="C180" s="966"/>
      <c r="D180" s="966"/>
      <c r="E180" s="966"/>
      <c r="F180" s="966"/>
      <c r="G180" s="967"/>
      <c r="H180" s="951">
        <f>SUM(H163:K179)</f>
        <v>6914800</v>
      </c>
      <c r="I180" s="952"/>
      <c r="J180" s="952"/>
      <c r="K180" s="953"/>
      <c r="L180" s="1072" t="s">
        <v>260</v>
      </c>
      <c r="M180" s="1073"/>
      <c r="N180" s="1074"/>
      <c r="O180" s="486">
        <f>O167+O179</f>
        <v>6914800</v>
      </c>
      <c r="P180" s="386">
        <f>SUM(H168:K179)</f>
        <v>5523130</v>
      </c>
      <c r="Q180" s="371"/>
      <c r="R180" s="371"/>
      <c r="S180" s="389"/>
      <c r="T180" s="389"/>
      <c r="U180" s="389"/>
      <c r="V180" s="389"/>
      <c r="W180" s="389"/>
      <c r="X180" s="389"/>
      <c r="Y180" s="389"/>
      <c r="Z180" s="389"/>
      <c r="AA180" s="389"/>
      <c r="AB180" s="437"/>
      <c r="AC180" s="403"/>
      <c r="AD180" s="413"/>
      <c r="AE180" s="413"/>
      <c r="AF180" s="413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</row>
    <row r="181" spans="1:42" s="157" customFormat="1" ht="3.75" customHeight="1">
      <c r="A181" s="196"/>
      <c r="B181" s="196"/>
      <c r="C181" s="196"/>
      <c r="D181" s="196"/>
      <c r="E181" s="163"/>
      <c r="F181" s="163"/>
      <c r="G181" s="163"/>
      <c r="H181" s="163"/>
      <c r="I181" s="163"/>
      <c r="J181" s="163"/>
      <c r="K181" s="163"/>
      <c r="L181" s="237"/>
      <c r="M181" s="237"/>
      <c r="N181" s="237"/>
      <c r="O181" s="460"/>
      <c r="P181" s="376"/>
      <c r="Q181" s="376"/>
      <c r="R181" s="376"/>
      <c r="S181" s="389"/>
      <c r="T181" s="389"/>
      <c r="U181" s="389"/>
      <c r="V181" s="389"/>
      <c r="W181" s="389"/>
      <c r="X181" s="389"/>
      <c r="Y181" s="389"/>
      <c r="Z181" s="389"/>
      <c r="AA181" s="389"/>
      <c r="AB181" s="437"/>
      <c r="AC181" s="403"/>
      <c r="AD181" s="413"/>
      <c r="AE181" s="413"/>
      <c r="AF181" s="413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</row>
    <row r="182" spans="1:42" s="157" customFormat="1" ht="14.25" customHeight="1">
      <c r="A182" s="880" t="s">
        <v>261</v>
      </c>
      <c r="B182" s="880"/>
      <c r="C182" s="880"/>
      <c r="D182" s="880"/>
      <c r="E182" s="880"/>
      <c r="F182" s="880"/>
      <c r="G182" s="880"/>
      <c r="H182" s="880"/>
      <c r="I182" s="880"/>
      <c r="J182" s="880"/>
      <c r="K182" s="880"/>
      <c r="L182" s="880"/>
      <c r="M182" s="880"/>
      <c r="N182" s="880"/>
      <c r="P182" s="399"/>
      <c r="Q182" s="399"/>
      <c r="R182" s="399"/>
      <c r="S182" s="371"/>
      <c r="T182" s="371"/>
      <c r="U182" s="371"/>
      <c r="V182" s="371"/>
      <c r="W182" s="371"/>
      <c r="X182" s="382"/>
      <c r="Y182" s="382"/>
      <c r="Z182" s="382"/>
      <c r="AA182" s="382"/>
      <c r="AB182" s="430"/>
      <c r="AC182" s="403"/>
      <c r="AD182" s="413"/>
      <c r="AE182" s="413"/>
      <c r="AF182" s="413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</row>
    <row r="183" spans="1:42" s="157" customFormat="1" ht="15" customHeight="1">
      <c r="A183" s="833">
        <f>H180</f>
        <v>6914800</v>
      </c>
      <c r="B183" s="833"/>
      <c r="C183" s="833"/>
      <c r="D183" s="198">
        <v>166370</v>
      </c>
      <c r="E183" s="233" t="s">
        <v>262</v>
      </c>
      <c r="F183" s="142" t="s">
        <v>205</v>
      </c>
      <c r="G183" s="860">
        <f>ROUND(A183/D183,2)</f>
        <v>41.56</v>
      </c>
      <c r="H183" s="860"/>
      <c r="I183" s="861"/>
      <c r="J183" s="861"/>
      <c r="K183" s="861"/>
      <c r="L183" s="861"/>
      <c r="M183" s="861"/>
      <c r="N183" s="861"/>
      <c r="O183" s="197"/>
      <c r="P183" s="361"/>
      <c r="Q183" s="361"/>
      <c r="R183" s="361"/>
      <c r="S183" s="376"/>
      <c r="T183" s="376"/>
      <c r="U183" s="376"/>
      <c r="V183" s="376"/>
      <c r="W183" s="376"/>
      <c r="X183" s="376"/>
      <c r="Y183" s="376"/>
      <c r="Z183" s="376"/>
      <c r="AA183" s="376"/>
      <c r="AB183" s="417"/>
      <c r="AC183" s="403"/>
      <c r="AD183" s="413"/>
      <c r="AE183" s="413"/>
      <c r="AF183" s="413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</row>
    <row r="184" spans="1:42" s="157" customFormat="1" ht="13.5" customHeight="1" thickBot="1">
      <c r="A184" s="823" t="s">
        <v>208</v>
      </c>
      <c r="B184" s="823"/>
      <c r="C184" s="234" t="s">
        <v>209</v>
      </c>
      <c r="D184" s="182" t="s">
        <v>210</v>
      </c>
      <c r="E184" s="882" t="s">
        <v>211</v>
      </c>
      <c r="F184" s="882"/>
      <c r="G184" s="882"/>
      <c r="H184" s="864" t="s">
        <v>212</v>
      </c>
      <c r="I184" s="865"/>
      <c r="J184" s="865"/>
      <c r="K184" s="865"/>
      <c r="L184" s="866"/>
      <c r="M184" s="882" t="s">
        <v>225</v>
      </c>
      <c r="N184" s="882"/>
      <c r="O184" s="197"/>
      <c r="P184" s="361"/>
      <c r="Q184" s="361" t="s">
        <v>295</v>
      </c>
      <c r="R184" s="361"/>
      <c r="S184" s="399"/>
      <c r="T184" s="399"/>
      <c r="U184" s="399"/>
      <c r="V184" s="399"/>
      <c r="W184" s="399"/>
      <c r="X184" s="399"/>
      <c r="Y184" s="399"/>
      <c r="Z184" s="399"/>
      <c r="AA184" s="399"/>
      <c r="AB184" s="403"/>
      <c r="AC184" s="403"/>
      <c r="AD184" s="413"/>
      <c r="AE184" s="413"/>
      <c r="AF184" s="413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</row>
    <row r="185" spans="1:42" s="157" customFormat="1" ht="15" customHeight="1" thickTop="1">
      <c r="A185" s="1059">
        <v>79.319999999999993</v>
      </c>
      <c r="B185" s="1059"/>
      <c r="C185" s="259">
        <v>258</v>
      </c>
      <c r="D185" s="871">
        <f>G183</f>
        <v>41.56</v>
      </c>
      <c r="E185" s="884">
        <f>ROUND(A185*$D$185,-1)</f>
        <v>3300</v>
      </c>
      <c r="F185" s="884"/>
      <c r="G185" s="884"/>
      <c r="H185" s="1069">
        <f t="shared" ref="H185:H191" si="15">ROUND(E185*C185,0)</f>
        <v>851400</v>
      </c>
      <c r="I185" s="1070"/>
      <c r="J185" s="1070"/>
      <c r="K185" s="1070"/>
      <c r="L185" s="1071"/>
      <c r="M185" s="957"/>
      <c r="N185" s="957"/>
      <c r="O185" s="197"/>
      <c r="P185" s="361"/>
      <c r="Q185" s="361"/>
      <c r="R185" s="361"/>
      <c r="S185" s="361"/>
      <c r="T185" s="361"/>
      <c r="U185" s="361"/>
      <c r="V185" s="361"/>
      <c r="W185" s="361"/>
      <c r="X185" s="361"/>
      <c r="Y185" s="361"/>
      <c r="Z185" s="361"/>
      <c r="AA185" s="361"/>
      <c r="AB185" s="419"/>
      <c r="AC185" s="403"/>
      <c r="AD185" s="413"/>
      <c r="AE185" s="413"/>
      <c r="AF185" s="413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</row>
    <row r="186" spans="1:42" s="157" customFormat="1" ht="15" customHeight="1">
      <c r="A186" s="881">
        <v>92.54</v>
      </c>
      <c r="B186" s="881"/>
      <c r="C186" s="260">
        <v>196</v>
      </c>
      <c r="D186" s="871"/>
      <c r="E186" s="884">
        <f t="shared" ref="E186:E191" si="16">ROUND(A186*$D$185,-1)</f>
        <v>3850</v>
      </c>
      <c r="F186" s="884"/>
      <c r="G186" s="884"/>
      <c r="H186" s="848">
        <f t="shared" si="15"/>
        <v>754600</v>
      </c>
      <c r="I186" s="849"/>
      <c r="J186" s="849"/>
      <c r="K186" s="849"/>
      <c r="L186" s="850"/>
      <c r="M186" s="958"/>
      <c r="N186" s="958"/>
      <c r="O186" s="197"/>
      <c r="P186" s="361"/>
      <c r="Q186" s="361"/>
      <c r="R186" s="361"/>
      <c r="S186" s="361"/>
      <c r="T186" s="361"/>
      <c r="U186" s="361"/>
      <c r="V186" s="361"/>
      <c r="W186" s="361"/>
      <c r="X186" s="361"/>
      <c r="Y186" s="361"/>
      <c r="Z186" s="361"/>
      <c r="AA186" s="361"/>
      <c r="AB186" s="419"/>
      <c r="AC186" s="403"/>
      <c r="AD186" s="413"/>
      <c r="AE186" s="413"/>
      <c r="AF186" s="413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</row>
    <row r="187" spans="1:42" s="157" customFormat="1" ht="15" customHeight="1">
      <c r="A187" s="881">
        <v>109.07</v>
      </c>
      <c r="B187" s="881"/>
      <c r="C187" s="260">
        <v>815</v>
      </c>
      <c r="D187" s="871"/>
      <c r="E187" s="884">
        <f t="shared" si="16"/>
        <v>4530</v>
      </c>
      <c r="F187" s="884"/>
      <c r="G187" s="884"/>
      <c r="H187" s="848">
        <f t="shared" si="15"/>
        <v>3691950</v>
      </c>
      <c r="I187" s="849"/>
      <c r="J187" s="849"/>
      <c r="K187" s="849"/>
      <c r="L187" s="850"/>
      <c r="M187" s="958"/>
      <c r="N187" s="958"/>
      <c r="O187" s="197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419"/>
      <c r="AC187" s="403"/>
      <c r="AD187" s="413"/>
      <c r="AE187" s="413"/>
      <c r="AF187" s="413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</row>
    <row r="188" spans="1:42" s="157" customFormat="1" ht="15" customHeight="1">
      <c r="A188" s="881">
        <v>128.9</v>
      </c>
      <c r="B188" s="881"/>
      <c r="C188" s="260">
        <v>68</v>
      </c>
      <c r="D188" s="871"/>
      <c r="E188" s="884">
        <f t="shared" si="16"/>
        <v>5360</v>
      </c>
      <c r="F188" s="884"/>
      <c r="G188" s="884"/>
      <c r="H188" s="848">
        <f t="shared" si="15"/>
        <v>364480</v>
      </c>
      <c r="I188" s="849"/>
      <c r="J188" s="849"/>
      <c r="K188" s="849"/>
      <c r="L188" s="850"/>
      <c r="M188" s="958"/>
      <c r="N188" s="958"/>
      <c r="O188" s="197"/>
      <c r="P188" s="361"/>
      <c r="Q188" s="361"/>
      <c r="R188" s="361"/>
      <c r="S188" s="361"/>
      <c r="T188" s="361"/>
      <c r="U188" s="361"/>
      <c r="V188" s="361"/>
      <c r="W188" s="361"/>
      <c r="X188" s="361"/>
      <c r="Y188" s="361"/>
      <c r="Z188" s="361"/>
      <c r="AA188" s="361"/>
      <c r="AB188" s="419"/>
      <c r="AC188" s="403"/>
      <c r="AD188" s="413"/>
      <c r="AE188" s="413"/>
      <c r="AF188" s="413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</row>
    <row r="189" spans="1:42" s="157" customFormat="1" ht="15" customHeight="1">
      <c r="A189" s="881">
        <v>158.63999999999999</v>
      </c>
      <c r="B189" s="881"/>
      <c r="C189" s="260">
        <v>102</v>
      </c>
      <c r="D189" s="871"/>
      <c r="E189" s="884">
        <f t="shared" si="16"/>
        <v>6590</v>
      </c>
      <c r="F189" s="884"/>
      <c r="G189" s="884"/>
      <c r="H189" s="848">
        <f t="shared" si="15"/>
        <v>672180</v>
      </c>
      <c r="I189" s="849"/>
      <c r="J189" s="849"/>
      <c r="K189" s="849"/>
      <c r="L189" s="850"/>
      <c r="M189" s="958"/>
      <c r="N189" s="958"/>
      <c r="O189" s="197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419"/>
      <c r="AC189" s="403"/>
      <c r="AD189" s="413"/>
      <c r="AE189" s="413"/>
      <c r="AF189" s="413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</row>
    <row r="190" spans="1:42" s="157" customFormat="1" ht="15" customHeight="1">
      <c r="A190" s="881">
        <v>188.39</v>
      </c>
      <c r="B190" s="881"/>
      <c r="C190" s="260">
        <v>34</v>
      </c>
      <c r="D190" s="871"/>
      <c r="E190" s="884">
        <f t="shared" si="16"/>
        <v>7830</v>
      </c>
      <c r="F190" s="884"/>
      <c r="G190" s="884"/>
      <c r="H190" s="848">
        <f t="shared" si="15"/>
        <v>266220</v>
      </c>
      <c r="I190" s="849"/>
      <c r="J190" s="849"/>
      <c r="K190" s="849"/>
      <c r="L190" s="850"/>
      <c r="M190" s="958"/>
      <c r="N190" s="958"/>
      <c r="O190" s="284"/>
      <c r="P190" s="575"/>
      <c r="Q190" s="575"/>
      <c r="R190" s="575"/>
      <c r="S190" s="361"/>
      <c r="T190" s="361"/>
      <c r="U190" s="361"/>
      <c r="V190" s="361"/>
      <c r="W190" s="361"/>
      <c r="X190" s="361"/>
      <c r="Y190" s="361"/>
      <c r="Z190" s="361"/>
      <c r="AA190" s="361"/>
      <c r="AB190" s="419"/>
      <c r="AC190" s="403"/>
      <c r="AD190" s="413"/>
      <c r="AE190" s="413"/>
      <c r="AF190" s="413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</row>
    <row r="191" spans="1:42" s="157" customFormat="1" ht="15" customHeight="1">
      <c r="A191" s="881">
        <v>221.44</v>
      </c>
      <c r="B191" s="881"/>
      <c r="C191" s="260">
        <v>34</v>
      </c>
      <c r="D191" s="872"/>
      <c r="E191" s="884">
        <f t="shared" si="16"/>
        <v>9200</v>
      </c>
      <c r="F191" s="884"/>
      <c r="G191" s="884"/>
      <c r="H191" s="848">
        <f t="shared" si="15"/>
        <v>312800</v>
      </c>
      <c r="I191" s="849"/>
      <c r="J191" s="849"/>
      <c r="K191" s="849"/>
      <c r="L191" s="850"/>
      <c r="M191" s="1058"/>
      <c r="N191" s="1058"/>
      <c r="O191" s="284"/>
      <c r="P191" s="575"/>
      <c r="Q191" s="575"/>
      <c r="R191" s="575"/>
      <c r="S191" s="361"/>
      <c r="T191" s="361"/>
      <c r="U191" s="361"/>
      <c r="V191" s="361"/>
      <c r="W191" s="361"/>
      <c r="X191" s="361"/>
      <c r="Y191" s="361"/>
      <c r="Z191" s="361"/>
      <c r="AA191" s="361"/>
      <c r="AB191" s="419"/>
      <c r="AC191" s="403"/>
      <c r="AD191" s="413"/>
      <c r="AE191" s="413"/>
      <c r="AF191" s="413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</row>
    <row r="192" spans="1:42" s="157" customFormat="1" ht="15" customHeight="1">
      <c r="A192" s="1084" t="s">
        <v>329</v>
      </c>
      <c r="B192" s="1084"/>
      <c r="C192" s="261">
        <f>SUM(C185:C191)</f>
        <v>1507</v>
      </c>
      <c r="D192" s="298"/>
      <c r="E192" s="884"/>
      <c r="F192" s="884"/>
      <c r="G192" s="884"/>
      <c r="H192" s="851">
        <f>SUM(H185:H191)</f>
        <v>6913630</v>
      </c>
      <c r="I192" s="852"/>
      <c r="J192" s="852"/>
      <c r="K192" s="852"/>
      <c r="L192" s="853"/>
      <c r="M192" s="297" t="s">
        <v>330</v>
      </c>
      <c r="N192" s="296">
        <f>H192-A183</f>
        <v>-1170</v>
      </c>
      <c r="O192" s="459"/>
      <c r="P192" s="379"/>
      <c r="Q192" s="379"/>
      <c r="R192" s="379"/>
      <c r="S192" s="575"/>
      <c r="T192" s="575"/>
      <c r="U192" s="575"/>
      <c r="V192" s="575"/>
      <c r="W192" s="575"/>
      <c r="X192" s="396"/>
      <c r="Y192" s="396"/>
      <c r="Z192" s="396"/>
      <c r="AA192" s="396"/>
      <c r="AB192" s="405"/>
      <c r="AC192" s="403"/>
      <c r="AD192" s="413"/>
      <c r="AE192" s="413"/>
      <c r="AF192" s="413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</row>
    <row r="193" spans="1:42" s="157" customFormat="1" ht="3.75" customHeight="1">
      <c r="C193" s="197"/>
      <c r="E193" s="235"/>
      <c r="F193" s="235"/>
      <c r="G193" s="235"/>
      <c r="H193" s="236"/>
      <c r="I193" s="236"/>
      <c r="J193" s="236"/>
      <c r="K193" s="236"/>
      <c r="L193" s="236"/>
      <c r="N193" s="163"/>
      <c r="O193" s="458"/>
      <c r="P193" s="371"/>
      <c r="Q193" s="371"/>
      <c r="R193" s="371"/>
      <c r="S193" s="575"/>
      <c r="T193" s="575"/>
      <c r="U193" s="575"/>
      <c r="V193" s="575"/>
      <c r="W193" s="575"/>
      <c r="X193" s="396"/>
      <c r="Y193" s="396"/>
      <c r="Z193" s="396"/>
      <c r="AA193" s="396"/>
      <c r="AB193" s="405"/>
      <c r="AC193" s="403"/>
      <c r="AD193" s="413"/>
      <c r="AE193" s="413"/>
      <c r="AF193" s="413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</row>
    <row r="194" spans="1:42" s="157" customFormat="1" ht="14.25" customHeight="1">
      <c r="A194" s="288" t="s">
        <v>318</v>
      </c>
      <c r="B194" s="230"/>
      <c r="C194" s="230"/>
      <c r="D194" s="180" t="s">
        <v>217</v>
      </c>
      <c r="E194" s="180"/>
      <c r="F194" s="180"/>
      <c r="G194" s="180"/>
      <c r="H194" s="180"/>
      <c r="I194" s="180"/>
      <c r="J194" s="180"/>
      <c r="K194" s="180"/>
      <c r="M194" s="867">
        <f>H204</f>
        <v>16638150</v>
      </c>
      <c r="N194" s="867"/>
      <c r="P194" s="399"/>
      <c r="Q194" s="399"/>
      <c r="R194" s="399"/>
      <c r="S194" s="379"/>
      <c r="T194" s="379"/>
      <c r="U194" s="379"/>
      <c r="V194" s="379"/>
      <c r="W194" s="379"/>
      <c r="X194" s="379"/>
      <c r="Y194" s="379"/>
      <c r="Z194" s="379"/>
      <c r="AA194" s="379"/>
      <c r="AB194" s="424"/>
      <c r="AC194" s="403"/>
      <c r="AD194" s="413"/>
      <c r="AE194" s="413"/>
      <c r="AF194" s="413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</row>
    <row r="195" spans="1:42" s="157" customFormat="1" ht="17.25" customHeight="1">
      <c r="A195" s="1075" t="s">
        <v>362</v>
      </c>
      <c r="B195" s="1075"/>
      <c r="C195" s="1075"/>
      <c r="D195" s="1075"/>
      <c r="E195" s="1075"/>
      <c r="F195" s="1075"/>
      <c r="G195" s="1075"/>
      <c r="H195" s="1075"/>
      <c r="I195" s="1075"/>
      <c r="J195" s="1075"/>
      <c r="K195" s="1075"/>
      <c r="L195" s="1075"/>
      <c r="M195" s="1075"/>
      <c r="N195" s="1075"/>
      <c r="O195" s="197"/>
      <c r="P195" s="361"/>
      <c r="Q195" s="361"/>
      <c r="R195" s="361"/>
      <c r="S195" s="371"/>
      <c r="T195" s="371"/>
      <c r="U195" s="371"/>
      <c r="V195" s="371"/>
      <c r="W195" s="371"/>
      <c r="X195" s="382"/>
      <c r="Y195" s="382"/>
      <c r="Z195" s="382"/>
      <c r="AA195" s="382"/>
      <c r="AB195" s="430"/>
      <c r="AC195" s="403"/>
      <c r="AD195" s="413"/>
      <c r="AE195" s="413"/>
      <c r="AF195" s="413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</row>
    <row r="196" spans="1:42" s="157" customFormat="1" ht="14.25" customHeight="1" thickBot="1">
      <c r="A196" s="823" t="s">
        <v>208</v>
      </c>
      <c r="B196" s="823"/>
      <c r="C196" s="234" t="s">
        <v>209</v>
      </c>
      <c r="D196" s="182" t="s">
        <v>210</v>
      </c>
      <c r="E196" s="882" t="s">
        <v>211</v>
      </c>
      <c r="F196" s="882"/>
      <c r="G196" s="882"/>
      <c r="H196" s="864" t="s">
        <v>212</v>
      </c>
      <c r="I196" s="865"/>
      <c r="J196" s="865"/>
      <c r="K196" s="865"/>
      <c r="L196" s="866"/>
      <c r="M196" s="882" t="s">
        <v>225</v>
      </c>
      <c r="N196" s="882"/>
      <c r="O196" s="197"/>
      <c r="P196" s="361"/>
      <c r="Q196" s="361"/>
      <c r="R196" s="361"/>
      <c r="S196" s="399"/>
      <c r="T196" s="399"/>
      <c r="U196" s="399"/>
      <c r="V196" s="399"/>
      <c r="W196" s="399"/>
      <c r="X196" s="399"/>
      <c r="Y196" s="399"/>
      <c r="Z196" s="399"/>
      <c r="AA196" s="399"/>
      <c r="AB196" s="403"/>
      <c r="AC196" s="403"/>
      <c r="AD196" s="413"/>
      <c r="AE196" s="413"/>
      <c r="AF196" s="413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</row>
    <row r="197" spans="1:42" s="157" customFormat="1" ht="15" customHeight="1" thickTop="1">
      <c r="A197" s="1059">
        <v>79.319999999999993</v>
      </c>
      <c r="B197" s="1059"/>
      <c r="C197" s="259">
        <v>258</v>
      </c>
      <c r="D197" s="871">
        <v>100</v>
      </c>
      <c r="E197" s="856">
        <f t="shared" ref="E197:E203" si="17">ROUND(A197*$D$197,-1)</f>
        <v>7930</v>
      </c>
      <c r="F197" s="856"/>
      <c r="G197" s="856"/>
      <c r="H197" s="1069">
        <f t="shared" ref="H197:H203" si="18">E197*C197</f>
        <v>2045940</v>
      </c>
      <c r="I197" s="1070"/>
      <c r="J197" s="1070"/>
      <c r="K197" s="1070"/>
      <c r="L197" s="1071"/>
      <c r="M197" s="816"/>
      <c r="N197" s="816"/>
      <c r="O197" s="197"/>
      <c r="P197" s="361"/>
      <c r="Q197" s="361"/>
      <c r="R197" s="361"/>
      <c r="S197" s="361"/>
      <c r="T197" s="361"/>
      <c r="U197" s="361"/>
      <c r="V197" s="361"/>
      <c r="W197" s="361"/>
      <c r="X197" s="361"/>
      <c r="Y197" s="361"/>
      <c r="Z197" s="361"/>
      <c r="AA197" s="361"/>
      <c r="AB197" s="419"/>
      <c r="AC197" s="403"/>
      <c r="AD197" s="413"/>
      <c r="AE197" s="413"/>
      <c r="AF197" s="413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</row>
    <row r="198" spans="1:42" s="157" customFormat="1" ht="15" customHeight="1">
      <c r="A198" s="881">
        <v>92.54</v>
      </c>
      <c r="B198" s="881"/>
      <c r="C198" s="260">
        <v>196</v>
      </c>
      <c r="D198" s="871"/>
      <c r="E198" s="884">
        <f t="shared" si="17"/>
        <v>9250</v>
      </c>
      <c r="F198" s="884"/>
      <c r="G198" s="884"/>
      <c r="H198" s="848">
        <f t="shared" si="18"/>
        <v>1813000</v>
      </c>
      <c r="I198" s="849"/>
      <c r="J198" s="849"/>
      <c r="K198" s="849"/>
      <c r="L198" s="850"/>
      <c r="M198" s="789"/>
      <c r="N198" s="789"/>
      <c r="O198" s="197"/>
      <c r="P198" s="361"/>
      <c r="Q198" s="361"/>
      <c r="R198" s="361"/>
      <c r="S198" s="361"/>
      <c r="T198" s="361"/>
      <c r="U198" s="361"/>
      <c r="V198" s="361"/>
      <c r="W198" s="361"/>
      <c r="X198" s="361"/>
      <c r="Y198" s="361"/>
      <c r="Z198" s="361"/>
      <c r="AA198" s="361"/>
      <c r="AB198" s="419"/>
      <c r="AC198" s="403"/>
      <c r="AD198" s="413"/>
      <c r="AE198" s="413"/>
      <c r="AF198" s="413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</row>
    <row r="199" spans="1:42" s="157" customFormat="1" ht="15" customHeight="1">
      <c r="A199" s="881">
        <v>109.07</v>
      </c>
      <c r="B199" s="881"/>
      <c r="C199" s="260">
        <v>815</v>
      </c>
      <c r="D199" s="871"/>
      <c r="E199" s="884">
        <f t="shared" si="17"/>
        <v>10910</v>
      </c>
      <c r="F199" s="884"/>
      <c r="G199" s="884"/>
      <c r="H199" s="848">
        <f t="shared" si="18"/>
        <v>8891650</v>
      </c>
      <c r="I199" s="849"/>
      <c r="J199" s="849"/>
      <c r="K199" s="849"/>
      <c r="L199" s="850"/>
      <c r="M199" s="789"/>
      <c r="N199" s="789"/>
      <c r="O199" s="197"/>
      <c r="P199" s="361"/>
      <c r="Q199" s="361"/>
      <c r="R199" s="361"/>
      <c r="S199" s="361"/>
      <c r="T199" s="361"/>
      <c r="U199" s="361"/>
      <c r="V199" s="361"/>
      <c r="W199" s="361"/>
      <c r="X199" s="361"/>
      <c r="Y199" s="361"/>
      <c r="Z199" s="361"/>
      <c r="AA199" s="361"/>
      <c r="AB199" s="419"/>
      <c r="AC199" s="403"/>
      <c r="AD199" s="413"/>
      <c r="AE199" s="413"/>
      <c r="AF199" s="413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</row>
    <row r="200" spans="1:42" s="157" customFormat="1" ht="15" customHeight="1">
      <c r="A200" s="881">
        <v>128.9</v>
      </c>
      <c r="B200" s="881"/>
      <c r="C200" s="260">
        <v>68</v>
      </c>
      <c r="D200" s="871"/>
      <c r="E200" s="884">
        <f t="shared" si="17"/>
        <v>12890</v>
      </c>
      <c r="F200" s="884"/>
      <c r="G200" s="884"/>
      <c r="H200" s="848">
        <f t="shared" si="18"/>
        <v>876520</v>
      </c>
      <c r="I200" s="849"/>
      <c r="J200" s="849"/>
      <c r="K200" s="849"/>
      <c r="L200" s="850"/>
      <c r="M200" s="789"/>
      <c r="N200" s="789"/>
      <c r="O200" s="197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  <c r="Z200" s="361"/>
      <c r="AA200" s="361"/>
      <c r="AB200" s="419"/>
      <c r="AC200" s="403"/>
      <c r="AD200" s="413"/>
      <c r="AE200" s="413"/>
      <c r="AF200" s="413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</row>
    <row r="201" spans="1:42" s="157" customFormat="1" ht="15" customHeight="1">
      <c r="A201" s="881">
        <v>158.63999999999999</v>
      </c>
      <c r="B201" s="881"/>
      <c r="C201" s="260">
        <v>102</v>
      </c>
      <c r="D201" s="871"/>
      <c r="E201" s="884">
        <f t="shared" si="17"/>
        <v>15860</v>
      </c>
      <c r="F201" s="884"/>
      <c r="G201" s="884"/>
      <c r="H201" s="848">
        <f t="shared" si="18"/>
        <v>1617720</v>
      </c>
      <c r="I201" s="849"/>
      <c r="J201" s="849"/>
      <c r="K201" s="849"/>
      <c r="L201" s="850"/>
      <c r="M201" s="789"/>
      <c r="N201" s="789"/>
      <c r="O201" s="197"/>
      <c r="P201" s="361"/>
      <c r="Q201" s="361"/>
      <c r="R201" s="361"/>
      <c r="S201" s="361"/>
      <c r="T201" s="361"/>
      <c r="U201" s="361"/>
      <c r="V201" s="361"/>
      <c r="W201" s="361"/>
      <c r="X201" s="361"/>
      <c r="Y201" s="361"/>
      <c r="Z201" s="361"/>
      <c r="AA201" s="361"/>
      <c r="AB201" s="419"/>
      <c r="AC201" s="403"/>
      <c r="AD201" s="413"/>
      <c r="AE201" s="413"/>
      <c r="AF201" s="413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</row>
    <row r="202" spans="1:42" s="157" customFormat="1" ht="15" customHeight="1">
      <c r="A202" s="881">
        <v>188.39</v>
      </c>
      <c r="B202" s="881"/>
      <c r="C202" s="260">
        <v>34</v>
      </c>
      <c r="D202" s="871"/>
      <c r="E202" s="884">
        <f t="shared" si="17"/>
        <v>18840</v>
      </c>
      <c r="F202" s="884"/>
      <c r="G202" s="884"/>
      <c r="H202" s="848">
        <f t="shared" si="18"/>
        <v>640560</v>
      </c>
      <c r="I202" s="849"/>
      <c r="J202" s="849"/>
      <c r="K202" s="849"/>
      <c r="L202" s="850"/>
      <c r="M202" s="789"/>
      <c r="N202" s="789"/>
      <c r="O202" s="284"/>
      <c r="P202" s="575"/>
      <c r="Q202" s="575"/>
      <c r="R202" s="575"/>
      <c r="S202" s="361"/>
      <c r="T202" s="361"/>
      <c r="U202" s="361"/>
      <c r="V202" s="361"/>
      <c r="W202" s="361"/>
      <c r="X202" s="361"/>
      <c r="Y202" s="361"/>
      <c r="Z202" s="361"/>
      <c r="AA202" s="361"/>
      <c r="AB202" s="419"/>
      <c r="AC202" s="403"/>
      <c r="AD202" s="413"/>
      <c r="AE202" s="413"/>
      <c r="AF202" s="413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</row>
    <row r="203" spans="1:42" s="157" customFormat="1" ht="15" customHeight="1">
      <c r="A203" s="881">
        <v>221.44</v>
      </c>
      <c r="B203" s="881"/>
      <c r="C203" s="260">
        <v>34</v>
      </c>
      <c r="D203" s="872"/>
      <c r="E203" s="884">
        <f t="shared" si="17"/>
        <v>22140</v>
      </c>
      <c r="F203" s="884"/>
      <c r="G203" s="884"/>
      <c r="H203" s="848">
        <f t="shared" si="18"/>
        <v>752760</v>
      </c>
      <c r="I203" s="849"/>
      <c r="J203" s="849"/>
      <c r="K203" s="849"/>
      <c r="L203" s="850"/>
      <c r="M203" s="807"/>
      <c r="N203" s="807"/>
      <c r="O203" s="238"/>
      <c r="P203" s="390"/>
      <c r="Q203" s="390"/>
      <c r="R203" s="390"/>
      <c r="S203" s="361"/>
      <c r="T203" s="361"/>
      <c r="U203" s="361"/>
      <c r="V203" s="361"/>
      <c r="W203" s="361"/>
      <c r="X203" s="361"/>
      <c r="Y203" s="361"/>
      <c r="Z203" s="361"/>
      <c r="AA203" s="361"/>
      <c r="AB203" s="419"/>
      <c r="AC203" s="403"/>
      <c r="AD203" s="413"/>
      <c r="AE203" s="413"/>
      <c r="AF203" s="413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</row>
    <row r="204" spans="1:42" s="157" customFormat="1" ht="15" customHeight="1">
      <c r="A204" s="846" t="s">
        <v>287</v>
      </c>
      <c r="B204" s="1103"/>
      <c r="C204" s="261">
        <f>SUM(C197:C203)</f>
        <v>1507</v>
      </c>
      <c r="D204" s="262"/>
      <c r="E204" s="884"/>
      <c r="F204" s="884"/>
      <c r="G204" s="884"/>
      <c r="H204" s="851">
        <f>SUM(H197:H203)</f>
        <v>16638150</v>
      </c>
      <c r="I204" s="852"/>
      <c r="J204" s="852"/>
      <c r="K204" s="852"/>
      <c r="L204" s="853"/>
      <c r="M204" s="177"/>
      <c r="N204" s="227"/>
      <c r="O204" s="459"/>
      <c r="P204" s="379"/>
      <c r="Q204" s="379"/>
      <c r="R204" s="379"/>
      <c r="S204" s="575"/>
      <c r="T204" s="575"/>
      <c r="U204" s="575"/>
      <c r="V204" s="575"/>
      <c r="W204" s="575"/>
      <c r="X204" s="396"/>
      <c r="Y204" s="396"/>
      <c r="Z204" s="396"/>
      <c r="AA204" s="396"/>
      <c r="AB204" s="405"/>
      <c r="AC204" s="403"/>
      <c r="AD204" s="413"/>
      <c r="AE204" s="413"/>
      <c r="AF204" s="413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</row>
    <row r="205" spans="1:42" s="157" customFormat="1" ht="5.25" customHeight="1">
      <c r="A205" s="637"/>
      <c r="B205" s="637"/>
      <c r="C205" s="638"/>
      <c r="D205" s="637"/>
      <c r="E205" s="639"/>
      <c r="F205" s="639"/>
      <c r="G205" s="639"/>
      <c r="H205" s="640"/>
      <c r="I205" s="640"/>
      <c r="J205" s="640"/>
      <c r="K205" s="640"/>
      <c r="L205" s="640"/>
      <c r="M205" s="578"/>
      <c r="N205" s="582"/>
      <c r="O205" s="577"/>
      <c r="P205" s="379"/>
      <c r="Q205" s="379"/>
      <c r="R205" s="379"/>
      <c r="S205" s="575"/>
      <c r="T205" s="575"/>
      <c r="U205" s="575"/>
      <c r="V205" s="575"/>
      <c r="W205" s="575"/>
      <c r="X205" s="575"/>
      <c r="Y205" s="575"/>
      <c r="Z205" s="575"/>
      <c r="AA205" s="575"/>
      <c r="AB205" s="405"/>
      <c r="AC205" s="495"/>
      <c r="AD205" s="580"/>
      <c r="AE205" s="580"/>
      <c r="AF205" s="580"/>
      <c r="AG205" s="579"/>
      <c r="AH205" s="579"/>
      <c r="AI205" s="579"/>
      <c r="AJ205" s="579"/>
      <c r="AK205" s="579"/>
      <c r="AL205" s="579"/>
      <c r="AM205" s="579"/>
      <c r="AN205" s="579"/>
      <c r="AO205" s="579"/>
      <c r="AP205" s="579"/>
    </row>
    <row r="206" spans="1:42" s="157" customFormat="1" ht="14.25" customHeight="1">
      <c r="A206" s="1104" t="s">
        <v>531</v>
      </c>
      <c r="B206" s="1104"/>
      <c r="C206" s="1104"/>
      <c r="D206" s="1104"/>
      <c r="E206" s="1104"/>
      <c r="F206" s="1104"/>
      <c r="G206" s="1104"/>
      <c r="H206" s="1104"/>
      <c r="I206" s="1104"/>
      <c r="J206" s="1104"/>
      <c r="K206" s="1104"/>
      <c r="L206" s="1104"/>
      <c r="M206" s="1104"/>
      <c r="N206" s="1104"/>
      <c r="O206" s="223"/>
      <c r="P206" s="383"/>
      <c r="Q206" s="383"/>
      <c r="R206" s="383"/>
      <c r="S206" s="390"/>
      <c r="T206" s="390"/>
      <c r="U206" s="390"/>
      <c r="V206" s="390"/>
      <c r="W206" s="390"/>
      <c r="X206" s="390"/>
      <c r="Y206" s="390"/>
      <c r="Z206" s="390"/>
      <c r="AA206" s="390"/>
      <c r="AB206" s="438"/>
      <c r="AC206" s="495"/>
      <c r="AD206" s="580"/>
      <c r="AE206" s="580"/>
      <c r="AF206" s="580"/>
      <c r="AG206" s="579"/>
      <c r="AH206" s="579"/>
      <c r="AI206" s="579"/>
      <c r="AJ206" s="579"/>
      <c r="AK206" s="579"/>
      <c r="AL206" s="579"/>
      <c r="AM206" s="579"/>
      <c r="AN206" s="579"/>
      <c r="AO206" s="579"/>
      <c r="AP206" s="579"/>
    </row>
    <row r="207" spans="1:42" s="157" customFormat="1" ht="15" customHeight="1">
      <c r="A207" s="1084" t="s">
        <v>526</v>
      </c>
      <c r="B207" s="1084"/>
      <c r="C207" s="1084"/>
      <c r="D207" s="1084" t="s">
        <v>527</v>
      </c>
      <c r="E207" s="1084"/>
      <c r="F207" s="1105" t="s">
        <v>528</v>
      </c>
      <c r="G207" s="1105"/>
      <c r="H207" s="1105"/>
      <c r="I207" s="1106" t="s">
        <v>529</v>
      </c>
      <c r="J207" s="1106"/>
      <c r="K207" s="1106"/>
      <c r="L207" s="1106"/>
      <c r="M207" s="1106"/>
      <c r="N207" s="589" t="s">
        <v>530</v>
      </c>
      <c r="O207" s="577"/>
      <c r="P207" s="379"/>
      <c r="Q207" s="379"/>
      <c r="R207" s="379"/>
      <c r="S207" s="575"/>
      <c r="T207" s="575"/>
      <c r="U207" s="575"/>
      <c r="V207" s="575"/>
      <c r="W207" s="575"/>
      <c r="X207" s="575"/>
      <c r="Y207" s="575"/>
      <c r="Z207" s="575"/>
      <c r="AA207" s="575"/>
      <c r="AB207" s="405"/>
      <c r="AC207" s="495"/>
      <c r="AD207" s="580"/>
      <c r="AE207" s="580"/>
      <c r="AF207" s="580"/>
      <c r="AG207" s="579"/>
      <c r="AH207" s="579"/>
      <c r="AI207" s="579"/>
      <c r="AJ207" s="579"/>
      <c r="AK207" s="579"/>
      <c r="AL207" s="579"/>
      <c r="AM207" s="579"/>
      <c r="AN207" s="579"/>
      <c r="AO207" s="579"/>
      <c r="AP207" s="579"/>
    </row>
    <row r="208" spans="1:42" s="157" customFormat="1" ht="15" customHeight="1">
      <c r="A208" s="1107">
        <v>1331276453</v>
      </c>
      <c r="B208" s="1107"/>
      <c r="C208" s="1107"/>
      <c r="D208" s="1107">
        <v>16638150</v>
      </c>
      <c r="E208" s="1107"/>
      <c r="F208" s="1107">
        <v>0</v>
      </c>
      <c r="G208" s="1107"/>
      <c r="H208" s="1107"/>
      <c r="I208" s="1107">
        <f>A208+D208-F208</f>
        <v>1347914603</v>
      </c>
      <c r="J208" s="1107"/>
      <c r="K208" s="1107"/>
      <c r="L208" s="1107"/>
      <c r="M208" s="1107"/>
      <c r="N208" s="581"/>
      <c r="O208" s="577"/>
      <c r="P208" s="379"/>
      <c r="Q208" s="379"/>
      <c r="R208" s="379"/>
      <c r="S208" s="575"/>
      <c r="T208" s="575"/>
      <c r="U208" s="575"/>
      <c r="V208" s="575"/>
      <c r="W208" s="575"/>
      <c r="X208" s="575"/>
      <c r="Y208" s="575"/>
      <c r="Z208" s="575"/>
      <c r="AA208" s="575"/>
      <c r="AB208" s="405"/>
      <c r="AC208" s="495"/>
      <c r="AD208" s="580"/>
      <c r="AE208" s="580"/>
      <c r="AF208" s="580"/>
      <c r="AG208" s="579"/>
      <c r="AH208" s="579"/>
      <c r="AI208" s="579"/>
      <c r="AJ208" s="579"/>
      <c r="AK208" s="579"/>
      <c r="AL208" s="579"/>
      <c r="AM208" s="579"/>
      <c r="AN208" s="579"/>
      <c r="AO208" s="579"/>
      <c r="AP208" s="579"/>
    </row>
    <row r="209" spans="1:42" s="157" customFormat="1" ht="2.25" customHeight="1">
      <c r="A209" s="238"/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23"/>
      <c r="P209" s="383"/>
      <c r="Q209" s="383"/>
      <c r="R209" s="383"/>
      <c r="S209" s="390"/>
      <c r="T209" s="390"/>
      <c r="U209" s="390"/>
      <c r="V209" s="390"/>
      <c r="W209" s="390"/>
      <c r="X209" s="390"/>
      <c r="Y209" s="390"/>
      <c r="Z209" s="390"/>
      <c r="AA209" s="390"/>
      <c r="AB209" s="438"/>
      <c r="AC209" s="495"/>
      <c r="AD209" s="494"/>
      <c r="AE209" s="494"/>
      <c r="AF209" s="494"/>
      <c r="AG209" s="493"/>
      <c r="AH209" s="493"/>
      <c r="AI209" s="493"/>
      <c r="AJ209" s="493"/>
      <c r="AK209" s="493"/>
      <c r="AL209" s="493"/>
      <c r="AM209" s="493"/>
      <c r="AN209" s="493"/>
      <c r="AO209" s="493"/>
      <c r="AP209" s="493"/>
    </row>
    <row r="210" spans="1:42" s="157" customFormat="1" ht="14.25" customHeight="1">
      <c r="A210" s="288" t="s">
        <v>319</v>
      </c>
      <c r="B210" s="230"/>
      <c r="C210" s="230"/>
      <c r="D210" s="180" t="s">
        <v>217</v>
      </c>
      <c r="E210" s="180"/>
      <c r="F210" s="180"/>
      <c r="G210" s="180"/>
      <c r="H210" s="180"/>
      <c r="I210" s="180"/>
      <c r="J210" s="180"/>
      <c r="K210" s="180"/>
      <c r="M210" s="867">
        <v>1207840</v>
      </c>
      <c r="N210" s="867"/>
      <c r="O210" s="461"/>
      <c r="P210" s="381"/>
      <c r="Q210" s="381"/>
      <c r="R210" s="381"/>
      <c r="S210" s="379"/>
      <c r="T210" s="379"/>
      <c r="U210" s="379"/>
      <c r="V210" s="379"/>
      <c r="W210" s="379"/>
      <c r="X210" s="379"/>
      <c r="Y210" s="379"/>
      <c r="Z210" s="379"/>
      <c r="AA210" s="379"/>
      <c r="AB210" s="424"/>
      <c r="AC210" s="403"/>
      <c r="AD210" s="413"/>
      <c r="AE210" s="413"/>
      <c r="AF210" s="413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</row>
    <row r="211" spans="1:42" s="157" customFormat="1" ht="12.75" customHeight="1">
      <c r="A211" s="150" t="s">
        <v>263</v>
      </c>
      <c r="B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6"/>
      <c r="P211" s="383"/>
      <c r="Q211" s="383"/>
      <c r="R211" s="383"/>
      <c r="S211" s="383"/>
      <c r="T211" s="383"/>
      <c r="U211" s="383"/>
      <c r="V211" s="383"/>
      <c r="W211" s="383"/>
      <c r="X211" s="380"/>
      <c r="Y211" s="380"/>
      <c r="Z211" s="380"/>
      <c r="AA211" s="380"/>
      <c r="AB211" s="426"/>
      <c r="AC211" s="403"/>
      <c r="AD211" s="413"/>
      <c r="AE211" s="413"/>
      <c r="AF211" s="413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</row>
    <row r="212" spans="1:42" s="157" customFormat="1" ht="12" customHeight="1" thickBot="1">
      <c r="A212" s="883" t="s">
        <v>264</v>
      </c>
      <c r="B212" s="883"/>
      <c r="C212" s="883"/>
      <c r="D212" s="883" t="s">
        <v>265</v>
      </c>
      <c r="E212" s="883"/>
      <c r="F212" s="883"/>
      <c r="G212" s="883" t="s">
        <v>266</v>
      </c>
      <c r="H212" s="883"/>
      <c r="I212" s="883"/>
      <c r="J212" s="883"/>
      <c r="K212" s="883"/>
      <c r="L212" s="883"/>
      <c r="M212" s="883"/>
      <c r="N212" s="883"/>
      <c r="O212" s="458"/>
      <c r="P212" s="371"/>
      <c r="Q212" s="371"/>
      <c r="R212" s="371"/>
      <c r="S212" s="381"/>
      <c r="T212" s="381"/>
      <c r="U212" s="381"/>
      <c r="V212" s="381"/>
      <c r="W212" s="381"/>
      <c r="X212" s="381"/>
      <c r="Y212" s="381"/>
      <c r="Z212" s="381"/>
      <c r="AA212" s="381"/>
      <c r="AB212" s="429"/>
      <c r="AC212" s="403"/>
      <c r="AD212" s="413"/>
      <c r="AE212" s="413"/>
      <c r="AF212" s="413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</row>
    <row r="213" spans="1:42" s="157" customFormat="1" ht="20.25" customHeight="1" thickTop="1">
      <c r="A213" s="885" t="s">
        <v>267</v>
      </c>
      <c r="B213" s="885"/>
      <c r="C213" s="885"/>
      <c r="D213" s="1077">
        <v>1207840</v>
      </c>
      <c r="E213" s="1078"/>
      <c r="F213" s="1079"/>
      <c r="G213" s="915" t="s">
        <v>268</v>
      </c>
      <c r="H213" s="916"/>
      <c r="I213" s="916"/>
      <c r="J213" s="916"/>
      <c r="K213" s="916"/>
      <c r="L213" s="916"/>
      <c r="M213" s="916"/>
      <c r="N213" s="917"/>
      <c r="O213" s="460"/>
      <c r="P213" s="376"/>
      <c r="Q213" s="376"/>
      <c r="R213" s="376"/>
      <c r="S213" s="383"/>
      <c r="T213" s="383"/>
      <c r="U213" s="383"/>
      <c r="V213" s="383"/>
      <c r="W213" s="383"/>
      <c r="X213" s="383"/>
      <c r="Y213" s="383"/>
      <c r="Z213" s="383"/>
      <c r="AA213" s="383"/>
      <c r="AB213" s="431"/>
      <c r="AC213" s="403"/>
      <c r="AD213" s="413"/>
      <c r="AE213" s="413"/>
      <c r="AF213" s="413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</row>
    <row r="214" spans="1:42" s="157" customFormat="1" ht="12.75" customHeight="1">
      <c r="A214" s="880" t="s">
        <v>269</v>
      </c>
      <c r="B214" s="880"/>
      <c r="C214" s="880"/>
      <c r="D214" s="880"/>
      <c r="E214" s="880"/>
      <c r="F214" s="880"/>
      <c r="G214" s="880"/>
      <c r="H214" s="880"/>
      <c r="I214" s="880"/>
      <c r="J214" s="880"/>
      <c r="K214" s="880"/>
      <c r="L214" s="880"/>
      <c r="M214" s="880"/>
      <c r="N214" s="880"/>
      <c r="P214" s="399"/>
      <c r="Q214" s="399"/>
      <c r="R214" s="399"/>
      <c r="S214" s="371"/>
      <c r="T214" s="371"/>
      <c r="U214" s="371"/>
      <c r="V214" s="371"/>
      <c r="W214" s="371"/>
      <c r="X214" s="382"/>
      <c r="Y214" s="382"/>
      <c r="Z214" s="382"/>
      <c r="AA214" s="382"/>
      <c r="AB214" s="430"/>
      <c r="AC214" s="403"/>
      <c r="AD214" s="413"/>
      <c r="AE214" s="413"/>
      <c r="AF214" s="413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</row>
    <row r="215" spans="1:42" s="157" customFormat="1" ht="12.75" customHeight="1">
      <c r="A215" s="833">
        <f>M210</f>
        <v>1207840</v>
      </c>
      <c r="B215" s="833"/>
      <c r="C215" s="833"/>
      <c r="D215" s="198">
        <v>166370</v>
      </c>
      <c r="E215" s="233" t="s">
        <v>262</v>
      </c>
      <c r="F215" s="142" t="s">
        <v>205</v>
      </c>
      <c r="G215" s="860">
        <f>ROUND(A215/D215,2)</f>
        <v>7.26</v>
      </c>
      <c r="H215" s="860"/>
      <c r="I215" s="861"/>
      <c r="J215" s="861"/>
      <c r="K215" s="861"/>
      <c r="L215" s="861"/>
      <c r="M215" s="861"/>
      <c r="N215" s="861"/>
      <c r="O215" s="197"/>
      <c r="P215" s="361"/>
      <c r="Q215" s="361"/>
      <c r="R215" s="361"/>
      <c r="S215" s="376"/>
      <c r="T215" s="376"/>
      <c r="U215" s="376"/>
      <c r="V215" s="376"/>
      <c r="W215" s="376"/>
      <c r="X215" s="376"/>
      <c r="Y215" s="376"/>
      <c r="Z215" s="376"/>
      <c r="AA215" s="376"/>
      <c r="AB215" s="417"/>
      <c r="AC215" s="403"/>
      <c r="AD215" s="413"/>
      <c r="AE215" s="413"/>
      <c r="AF215" s="413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</row>
    <row r="216" spans="1:42" s="157" customFormat="1" ht="15" customHeight="1" thickBot="1">
      <c r="A216" s="823" t="s">
        <v>208</v>
      </c>
      <c r="B216" s="823"/>
      <c r="C216" s="234" t="s">
        <v>209</v>
      </c>
      <c r="D216" s="182" t="s">
        <v>210</v>
      </c>
      <c r="E216" s="882" t="s">
        <v>211</v>
      </c>
      <c r="F216" s="882"/>
      <c r="G216" s="882"/>
      <c r="H216" s="864" t="s">
        <v>212</v>
      </c>
      <c r="I216" s="865"/>
      <c r="J216" s="865"/>
      <c r="K216" s="865"/>
      <c r="L216" s="866"/>
      <c r="M216" s="882" t="s">
        <v>225</v>
      </c>
      <c r="N216" s="882"/>
      <c r="O216" s="197"/>
      <c r="P216" s="361"/>
      <c r="Q216" s="361"/>
      <c r="R216" s="361"/>
      <c r="S216" s="399"/>
      <c r="T216" s="399"/>
      <c r="U216" s="399"/>
      <c r="V216" s="399"/>
      <c r="W216" s="399"/>
      <c r="X216" s="399"/>
      <c r="Y216" s="399"/>
      <c r="Z216" s="399"/>
      <c r="AA216" s="399"/>
      <c r="AB216" s="403"/>
      <c r="AC216" s="403"/>
      <c r="AD216" s="413"/>
      <c r="AE216" s="413"/>
      <c r="AF216" s="413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</row>
    <row r="217" spans="1:42" s="157" customFormat="1" ht="14.25" customHeight="1" thickTop="1">
      <c r="A217" s="845">
        <v>79.319999999999993</v>
      </c>
      <c r="B217" s="845"/>
      <c r="C217" s="213">
        <v>258</v>
      </c>
      <c r="D217" s="821">
        <f>G215</f>
        <v>7.26</v>
      </c>
      <c r="E217" s="920">
        <f t="shared" ref="E217:E223" si="19">ROUND(A217*$D$217,-1)</f>
        <v>580</v>
      </c>
      <c r="F217" s="920"/>
      <c r="G217" s="920"/>
      <c r="H217" s="933">
        <f t="shared" ref="H217:H223" si="20">ROUND(E217*C217,0)</f>
        <v>149640</v>
      </c>
      <c r="I217" s="934"/>
      <c r="J217" s="934"/>
      <c r="K217" s="934"/>
      <c r="L217" s="935"/>
      <c r="M217" s="816"/>
      <c r="N217" s="816"/>
      <c r="O217" s="197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419"/>
      <c r="AC217" s="403"/>
      <c r="AD217" s="413"/>
      <c r="AE217" s="413"/>
      <c r="AF217" s="413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</row>
    <row r="218" spans="1:42" s="157" customFormat="1" ht="14.25" customHeight="1">
      <c r="A218" s="790">
        <v>92.54</v>
      </c>
      <c r="B218" s="790"/>
      <c r="C218" s="205">
        <v>196</v>
      </c>
      <c r="D218" s="821"/>
      <c r="E218" s="817">
        <f t="shared" si="19"/>
        <v>670</v>
      </c>
      <c r="F218" s="817"/>
      <c r="G218" s="817"/>
      <c r="H218" s="836">
        <f t="shared" si="20"/>
        <v>131320</v>
      </c>
      <c r="I218" s="837"/>
      <c r="J218" s="837"/>
      <c r="K218" s="837"/>
      <c r="L218" s="838"/>
      <c r="M218" s="789"/>
      <c r="N218" s="789"/>
      <c r="O218" s="197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  <c r="Z218" s="361"/>
      <c r="AA218" s="361"/>
      <c r="AB218" s="419"/>
      <c r="AC218" s="403"/>
      <c r="AD218" s="413"/>
      <c r="AE218" s="413"/>
      <c r="AF218" s="413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</row>
    <row r="219" spans="1:42" s="157" customFormat="1" ht="14.25" customHeight="1">
      <c r="A219" s="790">
        <v>109.07</v>
      </c>
      <c r="B219" s="790"/>
      <c r="C219" s="205">
        <v>815</v>
      </c>
      <c r="D219" s="821"/>
      <c r="E219" s="817">
        <f t="shared" si="19"/>
        <v>790</v>
      </c>
      <c r="F219" s="817"/>
      <c r="G219" s="817"/>
      <c r="H219" s="836">
        <f t="shared" si="20"/>
        <v>643850</v>
      </c>
      <c r="I219" s="837"/>
      <c r="J219" s="837"/>
      <c r="K219" s="837"/>
      <c r="L219" s="838"/>
      <c r="M219" s="789"/>
      <c r="N219" s="789"/>
      <c r="O219" s="197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1"/>
      <c r="AB219" s="419"/>
      <c r="AC219" s="403"/>
      <c r="AD219" s="413"/>
      <c r="AE219" s="413"/>
      <c r="AF219" s="413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</row>
    <row r="220" spans="1:42" s="157" customFormat="1" ht="14.25" customHeight="1">
      <c r="A220" s="790">
        <v>128.9</v>
      </c>
      <c r="B220" s="790"/>
      <c r="C220" s="205">
        <v>68</v>
      </c>
      <c r="D220" s="821"/>
      <c r="E220" s="817">
        <f t="shared" si="19"/>
        <v>940</v>
      </c>
      <c r="F220" s="817"/>
      <c r="G220" s="817"/>
      <c r="H220" s="836">
        <f t="shared" si="20"/>
        <v>63920</v>
      </c>
      <c r="I220" s="837"/>
      <c r="J220" s="837"/>
      <c r="K220" s="837"/>
      <c r="L220" s="838"/>
      <c r="M220" s="789"/>
      <c r="N220" s="789"/>
      <c r="O220" s="197"/>
      <c r="P220" s="361"/>
      <c r="Q220" s="361"/>
      <c r="R220" s="361"/>
      <c r="S220" s="361"/>
      <c r="T220" s="361"/>
      <c r="U220" s="361"/>
      <c r="V220" s="361"/>
      <c r="W220" s="361"/>
      <c r="X220" s="361"/>
      <c r="Y220" s="361"/>
      <c r="Z220" s="361"/>
      <c r="AA220" s="361"/>
      <c r="AB220" s="419"/>
      <c r="AC220" s="403"/>
      <c r="AD220" s="413"/>
      <c r="AE220" s="413"/>
      <c r="AF220" s="413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</row>
    <row r="221" spans="1:42" s="157" customFormat="1" ht="14.25" customHeight="1">
      <c r="A221" s="790">
        <v>158.63999999999999</v>
      </c>
      <c r="B221" s="790"/>
      <c r="C221" s="205">
        <v>102</v>
      </c>
      <c r="D221" s="821"/>
      <c r="E221" s="817">
        <f t="shared" si="19"/>
        <v>1150</v>
      </c>
      <c r="F221" s="817"/>
      <c r="G221" s="817"/>
      <c r="H221" s="836">
        <f t="shared" si="20"/>
        <v>117300</v>
      </c>
      <c r="I221" s="837"/>
      <c r="J221" s="837"/>
      <c r="K221" s="837"/>
      <c r="L221" s="838"/>
      <c r="M221" s="789"/>
      <c r="N221" s="789"/>
      <c r="O221" s="197"/>
      <c r="P221" s="361"/>
      <c r="Q221" s="361"/>
      <c r="R221" s="361"/>
      <c r="S221" s="361"/>
      <c r="T221" s="361"/>
      <c r="U221" s="361"/>
      <c r="V221" s="361"/>
      <c r="W221" s="361"/>
      <c r="X221" s="361"/>
      <c r="Y221" s="361"/>
      <c r="Z221" s="361"/>
      <c r="AA221" s="361"/>
      <c r="AB221" s="419"/>
      <c r="AC221" s="403"/>
      <c r="AD221" s="413"/>
      <c r="AE221" s="413"/>
      <c r="AF221" s="413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</row>
    <row r="222" spans="1:42" s="157" customFormat="1" ht="14.25" customHeight="1">
      <c r="A222" s="790">
        <v>188.39</v>
      </c>
      <c r="B222" s="790"/>
      <c r="C222" s="205">
        <v>34</v>
      </c>
      <c r="D222" s="821"/>
      <c r="E222" s="817">
        <f t="shared" si="19"/>
        <v>1370</v>
      </c>
      <c r="F222" s="817"/>
      <c r="G222" s="817"/>
      <c r="H222" s="836">
        <f t="shared" si="20"/>
        <v>46580</v>
      </c>
      <c r="I222" s="837"/>
      <c r="J222" s="837"/>
      <c r="K222" s="837"/>
      <c r="L222" s="838"/>
      <c r="M222" s="789"/>
      <c r="N222" s="789"/>
      <c r="O222" s="284"/>
      <c r="P222" s="575"/>
      <c r="Q222" s="575"/>
      <c r="R222" s="575"/>
      <c r="S222" s="361"/>
      <c r="T222" s="361"/>
      <c r="U222" s="361"/>
      <c r="V222" s="361"/>
      <c r="W222" s="361"/>
      <c r="X222" s="361"/>
      <c r="Y222" s="361"/>
      <c r="Z222" s="361"/>
      <c r="AA222" s="361"/>
      <c r="AB222" s="419"/>
      <c r="AC222" s="403"/>
      <c r="AD222" s="413"/>
      <c r="AE222" s="413"/>
      <c r="AF222" s="413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</row>
    <row r="223" spans="1:42" s="157" customFormat="1" ht="14.25" customHeight="1">
      <c r="A223" s="790">
        <v>221.44</v>
      </c>
      <c r="B223" s="790"/>
      <c r="C223" s="205">
        <v>34</v>
      </c>
      <c r="D223" s="822"/>
      <c r="E223" s="817">
        <f t="shared" si="19"/>
        <v>1610</v>
      </c>
      <c r="F223" s="817"/>
      <c r="G223" s="817"/>
      <c r="H223" s="836">
        <f t="shared" si="20"/>
        <v>54740</v>
      </c>
      <c r="I223" s="837"/>
      <c r="J223" s="837"/>
      <c r="K223" s="837"/>
      <c r="L223" s="838"/>
      <c r="M223" s="807"/>
      <c r="N223" s="807"/>
      <c r="O223" s="284"/>
      <c r="P223" s="575"/>
      <c r="Q223" s="575"/>
      <c r="R223" s="575"/>
      <c r="S223" s="361"/>
      <c r="T223" s="361"/>
      <c r="U223" s="361"/>
      <c r="V223" s="361"/>
      <c r="W223" s="361"/>
      <c r="X223" s="361"/>
      <c r="Y223" s="361"/>
      <c r="Z223" s="361"/>
      <c r="AA223" s="361"/>
      <c r="AB223" s="419"/>
      <c r="AC223" s="403"/>
      <c r="AD223" s="413"/>
      <c r="AE223" s="413"/>
      <c r="AF223" s="413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</row>
    <row r="224" spans="1:42" s="157" customFormat="1" ht="15" customHeight="1">
      <c r="A224" s="834" t="s">
        <v>214</v>
      </c>
      <c r="B224" s="835"/>
      <c r="C224" s="216">
        <f>SUM(C217:C223)</f>
        <v>1507</v>
      </c>
      <c r="D224" s="217"/>
      <c r="E224" s="817"/>
      <c r="F224" s="817"/>
      <c r="G224" s="817"/>
      <c r="H224" s="857">
        <f>SUM(H217:H223)</f>
        <v>1207350</v>
      </c>
      <c r="I224" s="858"/>
      <c r="J224" s="858"/>
      <c r="K224" s="858"/>
      <c r="L224" s="859"/>
      <c r="M224" s="177" t="s">
        <v>215</v>
      </c>
      <c r="N224" s="227">
        <f>H224-A215</f>
        <v>-490</v>
      </c>
      <c r="O224" s="459"/>
      <c r="P224" s="379"/>
      <c r="Q224" s="379"/>
      <c r="R224" s="379"/>
      <c r="S224" s="575"/>
      <c r="T224" s="575"/>
      <c r="U224" s="575"/>
      <c r="V224" s="575"/>
      <c r="W224" s="575"/>
      <c r="X224" s="396"/>
      <c r="Y224" s="396"/>
      <c r="Z224" s="396"/>
      <c r="AA224" s="396"/>
      <c r="AB224" s="405"/>
      <c r="AC224" s="403"/>
      <c r="AD224" s="413"/>
      <c r="AE224" s="413"/>
      <c r="AF224" s="413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</row>
    <row r="225" spans="1:42" s="157" customFormat="1" ht="2.25" customHeight="1">
      <c r="C225" s="197"/>
      <c r="E225" s="235"/>
      <c r="F225" s="235"/>
      <c r="G225" s="235"/>
      <c r="H225" s="236"/>
      <c r="I225" s="236"/>
      <c r="J225" s="236"/>
      <c r="K225" s="236"/>
      <c r="L225" s="236"/>
      <c r="N225" s="163"/>
      <c r="O225" s="239"/>
      <c r="P225" s="391"/>
      <c r="Q225" s="391"/>
      <c r="R225" s="391"/>
      <c r="S225" s="575"/>
      <c r="T225" s="575"/>
      <c r="U225" s="575"/>
      <c r="V225" s="575"/>
      <c r="W225" s="575"/>
      <c r="X225" s="396"/>
      <c r="Y225" s="396"/>
      <c r="Z225" s="396"/>
      <c r="AA225" s="396"/>
      <c r="AB225" s="405"/>
      <c r="AC225" s="403"/>
      <c r="AD225" s="413"/>
      <c r="AE225" s="413"/>
      <c r="AF225" s="413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</row>
    <row r="226" spans="1:42" s="157" customFormat="1" ht="12.75" customHeight="1">
      <c r="A226" s="288" t="s">
        <v>320</v>
      </c>
      <c r="B226" s="230"/>
      <c r="C226" s="230"/>
      <c r="D226" s="180" t="s">
        <v>217</v>
      </c>
      <c r="E226" s="180"/>
      <c r="F226" s="180"/>
      <c r="G226" s="180"/>
      <c r="H226" s="180"/>
      <c r="I226" s="180"/>
      <c r="J226" s="180"/>
      <c r="K226" s="180"/>
      <c r="M226" s="867">
        <v>1571800</v>
      </c>
      <c r="N226" s="867"/>
      <c r="O226" s="487"/>
      <c r="P226" s="650"/>
      <c r="Q226" s="650"/>
      <c r="R226" s="650"/>
      <c r="S226" s="379"/>
      <c r="T226" s="379"/>
      <c r="U226" s="379"/>
      <c r="V226" s="379"/>
      <c r="W226" s="379"/>
      <c r="X226" s="379"/>
      <c r="Y226" s="379"/>
      <c r="Z226" s="379"/>
      <c r="AA226" s="379"/>
      <c r="AB226" s="424"/>
      <c r="AC226" s="403"/>
      <c r="AD226" s="413"/>
      <c r="AE226" s="413"/>
      <c r="AF226" s="413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</row>
    <row r="227" spans="1:42" s="157" customFormat="1" ht="13.5" customHeight="1">
      <c r="A227" s="225" t="s">
        <v>270</v>
      </c>
      <c r="B227" s="230"/>
      <c r="C227" s="230"/>
      <c r="D227" s="143"/>
      <c r="E227" s="143"/>
      <c r="F227" s="143"/>
      <c r="G227" s="143"/>
      <c r="H227" s="143"/>
      <c r="I227" s="143"/>
      <c r="J227" s="143"/>
      <c r="K227" s="143"/>
      <c r="L227" s="239"/>
      <c r="M227" s="239"/>
      <c r="N227" s="239"/>
      <c r="O227" s="460"/>
      <c r="P227" s="376"/>
      <c r="Q227" s="376"/>
      <c r="R227" s="376"/>
      <c r="S227" s="391"/>
      <c r="T227" s="391"/>
      <c r="U227" s="391"/>
      <c r="V227" s="391"/>
      <c r="W227" s="391"/>
      <c r="X227" s="391"/>
      <c r="Y227" s="391"/>
      <c r="Z227" s="391"/>
      <c r="AA227" s="391"/>
      <c r="AB227" s="439"/>
      <c r="AC227" s="403"/>
      <c r="AD227" s="413"/>
      <c r="AE227" s="413"/>
      <c r="AF227" s="413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</row>
    <row r="228" spans="1:42" s="240" customFormat="1" ht="12" customHeight="1">
      <c r="A228" s="359" t="s">
        <v>400</v>
      </c>
      <c r="B228" s="230"/>
      <c r="C228" s="230"/>
      <c r="O228" s="488"/>
      <c r="P228" s="399"/>
      <c r="Q228" s="399"/>
      <c r="R228" s="399"/>
      <c r="S228" s="650"/>
      <c r="T228" s="650"/>
      <c r="U228" s="650"/>
      <c r="V228" s="650"/>
      <c r="W228" s="650"/>
      <c r="X228" s="455"/>
      <c r="Y228" s="455"/>
      <c r="Z228" s="455"/>
      <c r="AA228" s="455"/>
      <c r="AB228" s="440"/>
      <c r="AC228" s="440"/>
      <c r="AD228" s="441"/>
      <c r="AE228" s="441"/>
      <c r="AF228" s="4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</row>
    <row r="229" spans="1:42" s="157" customFormat="1" ht="12" customHeight="1">
      <c r="A229" s="833">
        <f>M226</f>
        <v>1571800</v>
      </c>
      <c r="B229" s="833"/>
      <c r="C229" s="833"/>
      <c r="D229" s="198">
        <v>166370</v>
      </c>
      <c r="E229" s="233" t="s">
        <v>262</v>
      </c>
      <c r="F229" s="142" t="s">
        <v>205</v>
      </c>
      <c r="G229" s="860">
        <f>ROUND(A229/D229,2)</f>
        <v>9.4499999999999993</v>
      </c>
      <c r="H229" s="860"/>
      <c r="I229" s="861"/>
      <c r="J229" s="861"/>
      <c r="K229" s="861"/>
      <c r="L229" s="861"/>
      <c r="M229" s="861"/>
      <c r="N229" s="861"/>
      <c r="O229" s="197"/>
      <c r="P229" s="361"/>
      <c r="Q229" s="361"/>
      <c r="R229" s="361"/>
      <c r="S229" s="376"/>
      <c r="T229" s="376"/>
      <c r="U229" s="376"/>
      <c r="V229" s="376"/>
      <c r="W229" s="376"/>
      <c r="X229" s="376"/>
      <c r="Y229" s="376"/>
      <c r="Z229" s="376"/>
      <c r="AA229" s="376"/>
      <c r="AB229" s="417"/>
      <c r="AC229" s="411"/>
      <c r="AD229" s="442"/>
      <c r="AE229" s="442"/>
      <c r="AF229" s="413"/>
      <c r="AG229" s="156"/>
      <c r="AH229" s="156"/>
      <c r="AI229" s="156"/>
      <c r="AJ229" s="156"/>
      <c r="AK229" s="156"/>
      <c r="AL229" s="156"/>
      <c r="AM229" s="156"/>
      <c r="AN229" s="222"/>
      <c r="AO229" s="222"/>
      <c r="AP229" s="222"/>
    </row>
    <row r="230" spans="1:42" s="157" customFormat="1" ht="16.5" customHeight="1" thickBot="1">
      <c r="A230" s="823" t="s">
        <v>208</v>
      </c>
      <c r="B230" s="823"/>
      <c r="C230" s="234" t="s">
        <v>209</v>
      </c>
      <c r="D230" s="182" t="s">
        <v>210</v>
      </c>
      <c r="E230" s="882" t="s">
        <v>211</v>
      </c>
      <c r="F230" s="882"/>
      <c r="G230" s="882"/>
      <c r="H230" s="864" t="s">
        <v>212</v>
      </c>
      <c r="I230" s="865"/>
      <c r="J230" s="865"/>
      <c r="K230" s="865"/>
      <c r="L230" s="866"/>
      <c r="M230" s="882" t="s">
        <v>225</v>
      </c>
      <c r="N230" s="882"/>
      <c r="O230" s="197"/>
      <c r="P230" s="361"/>
      <c r="Q230" s="361"/>
      <c r="R230" s="361"/>
      <c r="S230" s="399"/>
      <c r="T230" s="399"/>
      <c r="U230" s="399"/>
      <c r="V230" s="399"/>
      <c r="W230" s="399"/>
      <c r="X230" s="399"/>
      <c r="Y230" s="399"/>
      <c r="Z230" s="399"/>
      <c r="AA230" s="399"/>
      <c r="AB230" s="403"/>
      <c r="AC230" s="1061"/>
      <c r="AD230" s="1061"/>
      <c r="AE230" s="1061"/>
      <c r="AF230" s="1061"/>
      <c r="AG230" s="1061"/>
      <c r="AH230" s="1061"/>
      <c r="AI230" s="1061"/>
      <c r="AJ230" s="1061"/>
      <c r="AK230" s="1061"/>
      <c r="AL230" s="1061"/>
      <c r="AM230" s="1061"/>
      <c r="AN230" s="1061"/>
      <c r="AO230" s="1061"/>
      <c r="AP230" s="156"/>
    </row>
    <row r="231" spans="1:42" s="157" customFormat="1" ht="13.5" customHeight="1" thickTop="1">
      <c r="A231" s="845">
        <v>79.319999999999993</v>
      </c>
      <c r="B231" s="845"/>
      <c r="C231" s="213">
        <v>258</v>
      </c>
      <c r="D231" s="821">
        <f>G229</f>
        <v>9.4499999999999993</v>
      </c>
      <c r="E231" s="920">
        <f>ROUND(A231*$D$231,-1)</f>
        <v>750</v>
      </c>
      <c r="F231" s="920"/>
      <c r="G231" s="920"/>
      <c r="H231" s="933">
        <f>ROUND(E231*C231,0)</f>
        <v>193500</v>
      </c>
      <c r="I231" s="934"/>
      <c r="J231" s="934"/>
      <c r="K231" s="934"/>
      <c r="L231" s="935"/>
      <c r="M231" s="816"/>
      <c r="N231" s="816"/>
      <c r="O231" s="197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1"/>
      <c r="AB231" s="419"/>
      <c r="AC231" s="1098"/>
      <c r="AD231" s="1098"/>
      <c r="AE231" s="1098"/>
      <c r="AF231" s="1098"/>
      <c r="AG231" s="1061"/>
      <c r="AH231" s="1061"/>
      <c r="AI231" s="1061"/>
      <c r="AJ231" s="1061"/>
      <c r="AK231" s="1094"/>
      <c r="AL231" s="1095"/>
      <c r="AM231" s="1095"/>
      <c r="AN231" s="1094"/>
      <c r="AO231" s="1095"/>
      <c r="AP231" s="1094"/>
    </row>
    <row r="232" spans="1:42" s="157" customFormat="1" ht="13.5" customHeight="1">
      <c r="A232" s="790">
        <v>92.54</v>
      </c>
      <c r="B232" s="790"/>
      <c r="C232" s="205">
        <v>196</v>
      </c>
      <c r="D232" s="821"/>
      <c r="E232" s="817">
        <f t="shared" ref="E232:E237" si="21">ROUND(A232*$D$231,-1)</f>
        <v>870</v>
      </c>
      <c r="F232" s="817"/>
      <c r="G232" s="817"/>
      <c r="H232" s="836">
        <f t="shared" ref="H232:H237" si="22">ROUND(E232*C232,0)</f>
        <v>170520</v>
      </c>
      <c r="I232" s="837"/>
      <c r="J232" s="837"/>
      <c r="K232" s="837"/>
      <c r="L232" s="838"/>
      <c r="M232" s="789"/>
      <c r="N232" s="789"/>
      <c r="O232" s="197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419"/>
      <c r="AC232" s="1098"/>
      <c r="AD232" s="1098"/>
      <c r="AE232" s="1098"/>
      <c r="AF232" s="1098"/>
      <c r="AG232" s="1061"/>
      <c r="AH232" s="1061"/>
      <c r="AI232" s="1061"/>
      <c r="AJ232" s="1061"/>
      <c r="AK232" s="1095"/>
      <c r="AL232" s="1095"/>
      <c r="AM232" s="1095"/>
      <c r="AN232" s="1095"/>
      <c r="AO232" s="1095"/>
      <c r="AP232" s="1095"/>
    </row>
    <row r="233" spans="1:42" s="157" customFormat="1" ht="13.5" customHeight="1">
      <c r="A233" s="790">
        <v>109.07</v>
      </c>
      <c r="B233" s="790"/>
      <c r="C233" s="205">
        <v>815</v>
      </c>
      <c r="D233" s="821"/>
      <c r="E233" s="817">
        <f t="shared" si="21"/>
        <v>1030</v>
      </c>
      <c r="F233" s="817"/>
      <c r="G233" s="817"/>
      <c r="H233" s="836">
        <f t="shared" si="22"/>
        <v>839450</v>
      </c>
      <c r="I233" s="837"/>
      <c r="J233" s="837"/>
      <c r="K233" s="837"/>
      <c r="L233" s="838"/>
      <c r="M233" s="789"/>
      <c r="N233" s="789"/>
      <c r="O233" s="197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1"/>
      <c r="AA233" s="361"/>
      <c r="AB233" s="419"/>
      <c r="AC233" s="1063"/>
      <c r="AD233" s="1063"/>
      <c r="AE233" s="1076"/>
      <c r="AF233" s="1062"/>
      <c r="AG233" s="242"/>
      <c r="AH233" s="1099"/>
      <c r="AI233" s="1099"/>
      <c r="AJ233" s="1099"/>
      <c r="AK233" s="1064"/>
      <c r="AL233" s="1061"/>
      <c r="AM233" s="1061"/>
      <c r="AN233" s="1064"/>
      <c r="AO233" s="1061"/>
      <c r="AP233" s="243"/>
    </row>
    <row r="234" spans="1:42" s="157" customFormat="1" ht="13.5" customHeight="1">
      <c r="A234" s="790">
        <v>128.9</v>
      </c>
      <c r="B234" s="790"/>
      <c r="C234" s="205">
        <v>68</v>
      </c>
      <c r="D234" s="821"/>
      <c r="E234" s="817">
        <f t="shared" si="21"/>
        <v>1220</v>
      </c>
      <c r="F234" s="817"/>
      <c r="G234" s="817"/>
      <c r="H234" s="836">
        <f t="shared" si="22"/>
        <v>82960</v>
      </c>
      <c r="I234" s="837"/>
      <c r="J234" s="837"/>
      <c r="K234" s="837"/>
      <c r="L234" s="838"/>
      <c r="M234" s="789"/>
      <c r="N234" s="789"/>
      <c r="O234" s="197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  <c r="Z234" s="361"/>
      <c r="AA234" s="361"/>
      <c r="AB234" s="419"/>
      <c r="AC234" s="1063"/>
      <c r="AD234" s="1063"/>
      <c r="AE234" s="1076"/>
      <c r="AF234" s="1062"/>
      <c r="AG234" s="242"/>
      <c r="AH234" s="1066"/>
      <c r="AI234" s="1066"/>
      <c r="AJ234" s="1066"/>
      <c r="AK234" s="1065"/>
      <c r="AL234" s="1065"/>
      <c r="AM234" s="1065"/>
      <c r="AN234" s="1064"/>
      <c r="AO234" s="1064"/>
      <c r="AP234" s="244"/>
    </row>
    <row r="235" spans="1:42" s="157" customFormat="1" ht="13.5" customHeight="1">
      <c r="A235" s="790">
        <v>158.63999999999999</v>
      </c>
      <c r="B235" s="790"/>
      <c r="C235" s="205">
        <v>102</v>
      </c>
      <c r="D235" s="821"/>
      <c r="E235" s="817">
        <f t="shared" si="21"/>
        <v>1500</v>
      </c>
      <c r="F235" s="817"/>
      <c r="G235" s="817"/>
      <c r="H235" s="836">
        <f t="shared" si="22"/>
        <v>153000</v>
      </c>
      <c r="I235" s="837"/>
      <c r="J235" s="837"/>
      <c r="K235" s="837"/>
      <c r="L235" s="838"/>
      <c r="M235" s="789"/>
      <c r="N235" s="789"/>
      <c r="O235" s="197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1"/>
      <c r="AA235" s="361"/>
      <c r="AB235" s="419"/>
      <c r="AC235" s="1063"/>
      <c r="AD235" s="1063"/>
      <c r="AE235" s="1076"/>
      <c r="AF235" s="1062"/>
      <c r="AG235" s="242"/>
      <c r="AH235" s="1066"/>
      <c r="AI235" s="1066"/>
      <c r="AJ235" s="1066"/>
      <c r="AK235" s="1064"/>
      <c r="AL235" s="1064"/>
      <c r="AM235" s="1064"/>
      <c r="AN235" s="1064"/>
      <c r="AO235" s="1064"/>
      <c r="AP235" s="243"/>
    </row>
    <row r="236" spans="1:42" s="157" customFormat="1" ht="13.5" customHeight="1">
      <c r="A236" s="790">
        <v>188.39</v>
      </c>
      <c r="B236" s="790"/>
      <c r="C236" s="205">
        <v>34</v>
      </c>
      <c r="D236" s="821"/>
      <c r="E236" s="817">
        <f t="shared" si="21"/>
        <v>1780</v>
      </c>
      <c r="F236" s="817"/>
      <c r="G236" s="817"/>
      <c r="H236" s="836">
        <f t="shared" si="22"/>
        <v>60520</v>
      </c>
      <c r="I236" s="837"/>
      <c r="J236" s="837"/>
      <c r="K236" s="837"/>
      <c r="L236" s="838"/>
      <c r="M236" s="789"/>
      <c r="N236" s="789"/>
      <c r="O236" s="284"/>
      <c r="P236" s="575"/>
      <c r="Q236" s="575"/>
      <c r="R236" s="575"/>
      <c r="S236" s="361"/>
      <c r="T236" s="361"/>
      <c r="U236" s="361"/>
      <c r="V236" s="361"/>
      <c r="W236" s="361"/>
      <c r="X236" s="361"/>
      <c r="Y236" s="361"/>
      <c r="Z236" s="361"/>
      <c r="AA236" s="361"/>
      <c r="AB236" s="419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</row>
    <row r="237" spans="1:42" s="157" customFormat="1" ht="13.5" customHeight="1">
      <c r="A237" s="790">
        <v>221.44</v>
      </c>
      <c r="B237" s="790"/>
      <c r="C237" s="205">
        <v>34</v>
      </c>
      <c r="D237" s="822"/>
      <c r="E237" s="817">
        <f t="shared" si="21"/>
        <v>2090</v>
      </c>
      <c r="F237" s="817"/>
      <c r="G237" s="817"/>
      <c r="H237" s="836">
        <f t="shared" si="22"/>
        <v>71060</v>
      </c>
      <c r="I237" s="837"/>
      <c r="J237" s="837"/>
      <c r="K237" s="837"/>
      <c r="L237" s="838"/>
      <c r="M237" s="807"/>
      <c r="N237" s="807"/>
      <c r="O237" s="284"/>
      <c r="P237" s="575"/>
      <c r="Q237" s="575"/>
      <c r="R237" s="575"/>
      <c r="S237" s="361"/>
      <c r="T237" s="361"/>
      <c r="U237" s="361"/>
      <c r="V237" s="361"/>
      <c r="W237" s="361"/>
      <c r="X237" s="361"/>
      <c r="Y237" s="361"/>
      <c r="Z237" s="361"/>
      <c r="AA237" s="361"/>
      <c r="AB237" s="419"/>
      <c r="AC237" s="1097"/>
      <c r="AD237" s="1097"/>
      <c r="AE237" s="1097"/>
      <c r="AF237" s="1060"/>
      <c r="AG237" s="1060"/>
      <c r="AH237" s="1060"/>
      <c r="AI237" s="1060"/>
      <c r="AJ237" s="1060"/>
      <c r="AK237" s="1060"/>
      <c r="AL237" s="1060"/>
      <c r="AM237" s="1060"/>
      <c r="AN237" s="1060"/>
      <c r="AO237" s="1060"/>
      <c r="AP237" s="1060"/>
    </row>
    <row r="238" spans="1:42" s="157" customFormat="1" ht="16.5" customHeight="1">
      <c r="A238" s="834" t="s">
        <v>214</v>
      </c>
      <c r="B238" s="835"/>
      <c r="C238" s="216">
        <f>SUM(C231:C237)</f>
        <v>1507</v>
      </c>
      <c r="D238" s="217"/>
      <c r="E238" s="817"/>
      <c r="F238" s="817"/>
      <c r="G238" s="817"/>
      <c r="H238" s="857">
        <f>SUM(H231:H237)</f>
        <v>1571010</v>
      </c>
      <c r="I238" s="858"/>
      <c r="J238" s="858"/>
      <c r="K238" s="858"/>
      <c r="L238" s="859"/>
      <c r="M238" s="177" t="s">
        <v>215</v>
      </c>
      <c r="N238" s="227">
        <f>H238-A229</f>
        <v>-790</v>
      </c>
      <c r="O238" s="459"/>
      <c r="P238" s="379"/>
      <c r="Q238" s="379"/>
      <c r="R238" s="379"/>
      <c r="S238" s="575"/>
      <c r="T238" s="575"/>
      <c r="U238" s="575"/>
      <c r="V238" s="575"/>
      <c r="W238" s="575"/>
      <c r="X238" s="396"/>
      <c r="Y238" s="396"/>
      <c r="Z238" s="396"/>
      <c r="AA238" s="396"/>
      <c r="AB238" s="405"/>
      <c r="AC238" s="1108"/>
      <c r="AD238" s="1108"/>
      <c r="AE238" s="1108"/>
      <c r="AF238" s="1085"/>
      <c r="AG238" s="1085"/>
      <c r="AH238" s="1099"/>
      <c r="AI238" s="1099"/>
      <c r="AJ238" s="1099"/>
      <c r="AK238" s="1099"/>
      <c r="AL238" s="1099"/>
      <c r="AM238" s="1085"/>
      <c r="AN238" s="1085"/>
      <c r="AO238" s="1085"/>
      <c r="AP238" s="1085"/>
    </row>
    <row r="239" spans="1:42" s="157" customFormat="1" ht="2.25" customHeight="1">
      <c r="C239" s="197"/>
      <c r="E239" s="235"/>
      <c r="F239" s="235"/>
      <c r="G239" s="235"/>
      <c r="H239" s="236"/>
      <c r="I239" s="236"/>
      <c r="J239" s="236"/>
      <c r="K239" s="236"/>
      <c r="L239" s="236"/>
      <c r="N239" s="163"/>
      <c r="O239" s="459"/>
      <c r="P239" s="379"/>
      <c r="Q239" s="379"/>
      <c r="R239" s="379"/>
      <c r="S239" s="575"/>
      <c r="T239" s="575"/>
      <c r="U239" s="575"/>
      <c r="V239" s="575"/>
      <c r="W239" s="575"/>
      <c r="X239" s="396"/>
      <c r="Y239" s="396"/>
      <c r="Z239" s="396"/>
      <c r="AA239" s="396"/>
      <c r="AB239" s="405"/>
      <c r="AC239" s="443"/>
      <c r="AD239" s="444"/>
      <c r="AE239" s="444"/>
      <c r="AF239" s="444"/>
      <c r="AG239" s="245"/>
      <c r="AH239" s="229"/>
      <c r="AI239" s="229"/>
      <c r="AJ239" s="229"/>
      <c r="AK239" s="229"/>
      <c r="AL239" s="229"/>
      <c r="AM239" s="245"/>
      <c r="AN239" s="245"/>
      <c r="AO239" s="245"/>
      <c r="AP239" s="245"/>
    </row>
    <row r="240" spans="1:42" s="157" customFormat="1" ht="12" customHeight="1">
      <c r="A240" s="288" t="s">
        <v>321</v>
      </c>
      <c r="B240" s="230"/>
      <c r="C240" s="230"/>
      <c r="D240" s="180"/>
      <c r="E240" s="180"/>
      <c r="F240" s="180" t="s">
        <v>217</v>
      </c>
      <c r="G240" s="180"/>
      <c r="H240" s="180"/>
      <c r="I240" s="180"/>
      <c r="J240" s="180"/>
      <c r="K240" s="180"/>
      <c r="M240" s="867">
        <f>K246</f>
        <v>2542580</v>
      </c>
      <c r="N240" s="867"/>
      <c r="O240" s="1114"/>
      <c r="P240" s="398"/>
      <c r="Q240" s="576"/>
      <c r="R240" s="1086"/>
      <c r="S240" s="379"/>
      <c r="T240" s="379"/>
      <c r="U240" s="379"/>
      <c r="V240" s="379"/>
      <c r="W240" s="379"/>
      <c r="X240" s="379"/>
      <c r="Y240" s="379"/>
      <c r="Z240" s="379"/>
      <c r="AA240" s="379"/>
      <c r="AB240" s="424"/>
      <c r="AC240" s="403"/>
      <c r="AD240" s="413"/>
      <c r="AE240" s="413"/>
      <c r="AF240" s="413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</row>
    <row r="241" spans="1:42" s="157" customFormat="1" ht="15.75" customHeight="1">
      <c r="A241" s="150" t="s">
        <v>323</v>
      </c>
      <c r="B241" s="230"/>
      <c r="C241" s="230"/>
      <c r="D241" s="143"/>
      <c r="E241" s="143"/>
      <c r="F241" s="143"/>
      <c r="G241" s="143"/>
      <c r="H241" s="143"/>
      <c r="I241" s="143"/>
      <c r="J241" s="143"/>
      <c r="K241" s="143"/>
      <c r="L241" s="221"/>
      <c r="M241" s="246"/>
      <c r="N241" s="246"/>
      <c r="O241" s="1114"/>
      <c r="P241" s="392"/>
      <c r="Q241" s="392"/>
      <c r="R241" s="1086"/>
      <c r="S241" s="379"/>
      <c r="T241" s="379"/>
      <c r="U241" s="379"/>
      <c r="V241" s="379"/>
      <c r="W241" s="379"/>
      <c r="X241" s="379"/>
      <c r="Y241" s="379"/>
      <c r="Z241" s="379"/>
      <c r="AA241" s="379"/>
      <c r="AB241" s="424"/>
      <c r="AC241" s="403"/>
      <c r="AD241" s="413"/>
      <c r="AE241" s="413"/>
      <c r="AF241" s="413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</row>
    <row r="242" spans="1:42" s="157" customFormat="1" ht="8.25" customHeight="1">
      <c r="A242" s="824" t="s">
        <v>271</v>
      </c>
      <c r="B242" s="825"/>
      <c r="C242" s="831" t="s">
        <v>272</v>
      </c>
      <c r="D242" s="831" t="s">
        <v>273</v>
      </c>
      <c r="E242" s="831" t="s">
        <v>274</v>
      </c>
      <c r="F242" s="824" t="s">
        <v>275</v>
      </c>
      <c r="G242" s="825"/>
      <c r="H242" s="824" t="s">
        <v>276</v>
      </c>
      <c r="I242" s="924"/>
      <c r="J242" s="825"/>
      <c r="K242" s="1088" t="s">
        <v>277</v>
      </c>
      <c r="L242" s="1089"/>
      <c r="M242" s="1090"/>
      <c r="N242" s="1115" t="s">
        <v>278</v>
      </c>
      <c r="O242" s="489"/>
      <c r="P242" s="393"/>
      <c r="Q242" s="393"/>
      <c r="R242" s="393"/>
      <c r="S242" s="1086"/>
      <c r="T242" s="576"/>
      <c r="U242" s="576"/>
      <c r="V242" s="576"/>
      <c r="W242" s="576"/>
      <c r="X242" s="397"/>
      <c r="Y242" s="397"/>
      <c r="Z242" s="397"/>
      <c r="AA242" s="397"/>
      <c r="AB242" s="445"/>
      <c r="AC242" s="448">
        <v>36</v>
      </c>
      <c r="AD242" s="449">
        <f>AC242*4070</f>
        <v>146520</v>
      </c>
      <c r="AE242" s="450" t="s">
        <v>279</v>
      </c>
      <c r="AF242" s="413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</row>
    <row r="243" spans="1:42" s="157" customFormat="1" ht="8.25" customHeight="1" thickBot="1">
      <c r="A243" s="826"/>
      <c r="B243" s="827"/>
      <c r="C243" s="832"/>
      <c r="D243" s="832"/>
      <c r="E243" s="832"/>
      <c r="F243" s="826"/>
      <c r="G243" s="827"/>
      <c r="H243" s="826"/>
      <c r="I243" s="1087"/>
      <c r="J243" s="827"/>
      <c r="K243" s="1091"/>
      <c r="L243" s="1092"/>
      <c r="M243" s="1093"/>
      <c r="N243" s="1116"/>
      <c r="O243" s="490"/>
      <c r="P243" s="394"/>
      <c r="Q243" s="394"/>
      <c r="R243" s="394"/>
      <c r="S243" s="1086"/>
      <c r="T243" s="392"/>
      <c r="U243" s="392"/>
      <c r="V243" s="392"/>
      <c r="W243" s="392"/>
      <c r="X243" s="392"/>
      <c r="Y243" s="392"/>
      <c r="Z243" s="392"/>
      <c r="AA243" s="392"/>
      <c r="AB243" s="446"/>
      <c r="AC243" s="405">
        <f>AC242*4030</f>
        <v>145080</v>
      </c>
      <c r="AD243" s="425">
        <v>128960</v>
      </c>
      <c r="AE243" s="413" t="s">
        <v>280</v>
      </c>
      <c r="AF243" s="413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</row>
    <row r="244" spans="1:42" s="157" customFormat="1" ht="11.25" customHeight="1" thickTop="1">
      <c r="A244" s="839">
        <v>24955.55</v>
      </c>
      <c r="B244" s="840"/>
      <c r="C244" s="828">
        <v>22868.05</v>
      </c>
      <c r="D244" s="818">
        <f>C244</f>
        <v>22868.05</v>
      </c>
      <c r="E244" s="248" t="s">
        <v>281</v>
      </c>
      <c r="F244" s="1112">
        <v>22820.35</v>
      </c>
      <c r="G244" s="1113"/>
      <c r="H244" s="813">
        <v>2537243</v>
      </c>
      <c r="I244" s="814"/>
      <c r="J244" s="815"/>
      <c r="K244" s="813">
        <f>H244</f>
        <v>2537243</v>
      </c>
      <c r="L244" s="814"/>
      <c r="M244" s="815"/>
      <c r="N244" s="808">
        <v>83.2</v>
      </c>
      <c r="O244" s="489"/>
      <c r="P244" s="393"/>
      <c r="Q244" s="393"/>
      <c r="R244" s="393"/>
      <c r="S244" s="393"/>
      <c r="T244" s="393"/>
      <c r="U244" s="393"/>
      <c r="V244" s="393"/>
      <c r="W244" s="393"/>
      <c r="X244" s="393"/>
      <c r="Y244" s="393"/>
      <c r="Z244" s="393"/>
      <c r="AA244" s="393"/>
      <c r="AB244" s="447"/>
      <c r="AC244" s="403"/>
      <c r="AD244" s="408"/>
      <c r="AE244" s="408"/>
      <c r="AF244" s="413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</row>
    <row r="245" spans="1:42" s="157" customFormat="1" ht="11.25" customHeight="1">
      <c r="A245" s="841"/>
      <c r="B245" s="842"/>
      <c r="C245" s="829"/>
      <c r="D245" s="819"/>
      <c r="E245" s="249" t="s">
        <v>282</v>
      </c>
      <c r="F245" s="1109">
        <v>47.7</v>
      </c>
      <c r="G245" s="1110"/>
      <c r="H245" s="1100">
        <v>5337</v>
      </c>
      <c r="I245" s="1101"/>
      <c r="J245" s="1102"/>
      <c r="K245" s="1100">
        <f>H245</f>
        <v>5337</v>
      </c>
      <c r="L245" s="1101"/>
      <c r="M245" s="1102"/>
      <c r="N245" s="809"/>
      <c r="O245" s="489"/>
      <c r="P245" s="393"/>
      <c r="Q245" s="393"/>
      <c r="R245" s="393"/>
      <c r="S245" s="394"/>
      <c r="T245" s="394"/>
      <c r="U245" s="394"/>
      <c r="V245" s="394"/>
      <c r="W245" s="394"/>
      <c r="X245" s="394"/>
      <c r="Y245" s="394"/>
      <c r="Z245" s="394"/>
      <c r="AA245" s="394"/>
      <c r="AB245" s="451"/>
      <c r="AC245" s="403"/>
      <c r="AD245" s="408"/>
      <c r="AE245" s="413"/>
      <c r="AF245" s="413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</row>
    <row r="246" spans="1:42" s="157" customFormat="1" ht="11.25" customHeight="1">
      <c r="A246" s="843"/>
      <c r="B246" s="844"/>
      <c r="C246" s="830"/>
      <c r="D246" s="820"/>
      <c r="E246" s="250" t="s">
        <v>283</v>
      </c>
      <c r="F246" s="1109">
        <f>SUM(F244:F245)</f>
        <v>22868.05</v>
      </c>
      <c r="G246" s="1110"/>
      <c r="H246" s="810">
        <f>H244+H245</f>
        <v>2542580</v>
      </c>
      <c r="I246" s="811"/>
      <c r="J246" s="812"/>
      <c r="K246" s="810">
        <f>SUM(K244:K245)</f>
        <v>2542580</v>
      </c>
      <c r="L246" s="811"/>
      <c r="M246" s="812"/>
      <c r="N246" s="251"/>
      <c r="O246" s="491"/>
      <c r="P246" s="575"/>
      <c r="Q246" s="575"/>
      <c r="R246" s="575"/>
      <c r="S246" s="393"/>
      <c r="T246" s="393"/>
      <c r="U246" s="393"/>
      <c r="V246" s="393"/>
      <c r="W246" s="393"/>
      <c r="X246" s="393"/>
      <c r="Y246" s="393"/>
      <c r="Z246" s="393"/>
      <c r="AA246" s="393"/>
      <c r="AB246" s="447"/>
      <c r="AC246" s="403"/>
      <c r="AD246" s="408"/>
      <c r="AE246" s="413"/>
      <c r="AF246" s="413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</row>
    <row r="247" spans="1:42" s="157" customFormat="1" ht="3" customHeight="1">
      <c r="A247" s="252"/>
      <c r="B247" s="252"/>
      <c r="C247" s="253"/>
      <c r="D247" s="254"/>
      <c r="E247" s="255"/>
      <c r="F247" s="252"/>
      <c r="G247" s="252"/>
      <c r="H247" s="228"/>
      <c r="I247" s="228"/>
      <c r="J247" s="228"/>
      <c r="K247" s="255"/>
      <c r="L247" s="255"/>
      <c r="M247" s="255"/>
      <c r="N247" s="255"/>
      <c r="O247" s="284"/>
      <c r="P247" s="575"/>
      <c r="Q247" s="575"/>
      <c r="R247" s="575"/>
      <c r="S247" s="393"/>
      <c r="T247" s="393"/>
      <c r="U247" s="393"/>
      <c r="V247" s="393"/>
      <c r="W247" s="393"/>
      <c r="X247" s="393"/>
      <c r="Y247" s="393"/>
      <c r="Z247" s="393"/>
      <c r="AA247" s="393"/>
      <c r="AB247" s="447"/>
      <c r="AC247" s="403"/>
      <c r="AD247" s="408"/>
      <c r="AE247" s="413"/>
      <c r="AF247" s="413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</row>
    <row r="248" spans="1:42" s="157" customFormat="1" ht="13.5" customHeight="1">
      <c r="A248" s="288" t="s">
        <v>322</v>
      </c>
      <c r="B248" s="230"/>
      <c r="C248" s="230"/>
      <c r="D248" s="180"/>
      <c r="E248" s="180"/>
      <c r="F248" s="180" t="s">
        <v>240</v>
      </c>
      <c r="G248" s="180"/>
      <c r="H248" s="180"/>
      <c r="I248" s="180"/>
      <c r="J248" s="180"/>
      <c r="K248" s="180"/>
      <c r="M248" s="867">
        <f>A249</f>
        <v>1500000</v>
      </c>
      <c r="N248" s="867"/>
      <c r="O248" s="1111"/>
      <c r="P248" s="1111"/>
      <c r="Q248" s="1111"/>
      <c r="R248" s="1111"/>
      <c r="S248" s="575"/>
      <c r="T248" s="575"/>
      <c r="U248" s="575"/>
      <c r="V248" s="575"/>
      <c r="W248" s="575"/>
      <c r="X248" s="396"/>
      <c r="Y248" s="396"/>
      <c r="Z248" s="396"/>
      <c r="AA248" s="396"/>
      <c r="AB248" s="405"/>
      <c r="AC248" s="403"/>
      <c r="AD248" s="413"/>
      <c r="AE248" s="413"/>
      <c r="AF248" s="413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</row>
    <row r="249" spans="1:42" s="157" customFormat="1" ht="11.25" customHeight="1">
      <c r="A249" s="833">
        <v>1500000</v>
      </c>
      <c r="B249" s="833"/>
      <c r="C249" s="833"/>
      <c r="D249" s="198">
        <v>166370</v>
      </c>
      <c r="E249" s="233" t="s">
        <v>250</v>
      </c>
      <c r="F249" s="142" t="s">
        <v>229</v>
      </c>
      <c r="G249" s="860">
        <f>ROUND(A249/D249,2)</f>
        <v>9.02</v>
      </c>
      <c r="H249" s="860"/>
      <c r="I249" s="861"/>
      <c r="J249" s="861"/>
      <c r="K249" s="861"/>
      <c r="L249" s="861"/>
      <c r="M249" s="861"/>
      <c r="N249" s="861"/>
      <c r="O249" s="284"/>
      <c r="P249" s="575"/>
      <c r="Q249" s="575"/>
      <c r="R249" s="575"/>
      <c r="S249" s="575"/>
      <c r="T249" s="575"/>
      <c r="U249" s="575"/>
      <c r="V249" s="575"/>
      <c r="W249" s="575"/>
      <c r="X249" s="396"/>
      <c r="Y249" s="396"/>
      <c r="Z249" s="396"/>
      <c r="AA249" s="396"/>
      <c r="AB249" s="405"/>
      <c r="AC249" s="403"/>
      <c r="AD249" s="413"/>
      <c r="AE249" s="413"/>
      <c r="AF249" s="413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</row>
    <row r="250" spans="1:42" s="157" customFormat="1" ht="15" customHeight="1" thickBot="1">
      <c r="A250" s="823" t="s">
        <v>232</v>
      </c>
      <c r="B250" s="823"/>
      <c r="C250" s="234" t="s">
        <v>233</v>
      </c>
      <c r="D250" s="182" t="s">
        <v>234</v>
      </c>
      <c r="E250" s="882" t="s">
        <v>235</v>
      </c>
      <c r="F250" s="882"/>
      <c r="G250" s="882"/>
      <c r="H250" s="864" t="s">
        <v>236</v>
      </c>
      <c r="I250" s="865"/>
      <c r="J250" s="865"/>
      <c r="K250" s="865"/>
      <c r="L250" s="866"/>
      <c r="M250" s="882" t="s">
        <v>244</v>
      </c>
      <c r="N250" s="882"/>
      <c r="O250" s="284"/>
      <c r="P250" s="575"/>
      <c r="Q250" s="575"/>
      <c r="R250" s="575"/>
      <c r="S250" s="575"/>
      <c r="T250" s="575"/>
      <c r="U250" s="575"/>
      <c r="V250" s="575"/>
      <c r="W250" s="575"/>
      <c r="X250" s="396"/>
      <c r="Y250" s="396"/>
      <c r="Z250" s="396"/>
      <c r="AA250" s="396"/>
      <c r="AB250" s="405"/>
      <c r="AC250" s="403"/>
      <c r="AD250" s="413"/>
      <c r="AE250" s="413"/>
      <c r="AF250" s="413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</row>
    <row r="251" spans="1:42" s="157" customFormat="1" ht="15" customHeight="1" thickTop="1">
      <c r="A251" s="845">
        <v>79.319999999999993</v>
      </c>
      <c r="B251" s="845"/>
      <c r="C251" s="213">
        <v>258</v>
      </c>
      <c r="D251" s="821">
        <f>G249</f>
        <v>9.02</v>
      </c>
      <c r="E251" s="817">
        <f t="shared" ref="E251" si="23">ROUND(A251*$D$251,-1)</f>
        <v>720</v>
      </c>
      <c r="F251" s="817"/>
      <c r="G251" s="817"/>
      <c r="H251" s="933">
        <f t="shared" ref="H251:H257" si="24">ROUND(E251*C251,0)</f>
        <v>185760</v>
      </c>
      <c r="I251" s="934"/>
      <c r="J251" s="934"/>
      <c r="K251" s="934"/>
      <c r="L251" s="935"/>
      <c r="M251" s="816"/>
      <c r="N251" s="816"/>
      <c r="O251" s="284"/>
      <c r="P251" s="575"/>
      <c r="Q251" s="575"/>
      <c r="R251" s="575"/>
      <c r="S251" s="575"/>
      <c r="T251" s="575"/>
      <c r="U251" s="575"/>
      <c r="V251" s="575"/>
      <c r="W251" s="575"/>
      <c r="X251" s="396"/>
      <c r="Y251" s="396"/>
      <c r="Z251" s="396"/>
      <c r="AA251" s="396"/>
      <c r="AB251" s="405"/>
      <c r="AC251" s="403"/>
      <c r="AD251" s="413"/>
      <c r="AE251" s="413"/>
      <c r="AF251" s="413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</row>
    <row r="252" spans="1:42" s="157" customFormat="1" ht="15" customHeight="1">
      <c r="A252" s="790">
        <v>92.54</v>
      </c>
      <c r="B252" s="790"/>
      <c r="C252" s="205">
        <v>196</v>
      </c>
      <c r="D252" s="821"/>
      <c r="E252" s="817">
        <f t="shared" ref="E252:E257" si="25">ROUND(A252*$D$251,-1)</f>
        <v>830</v>
      </c>
      <c r="F252" s="817"/>
      <c r="G252" s="817"/>
      <c r="H252" s="836">
        <f t="shared" si="24"/>
        <v>162680</v>
      </c>
      <c r="I252" s="837"/>
      <c r="J252" s="837"/>
      <c r="K252" s="837"/>
      <c r="L252" s="838"/>
      <c r="M252" s="789"/>
      <c r="N252" s="789"/>
      <c r="O252" s="284"/>
      <c r="P252" s="575"/>
      <c r="Q252" s="575"/>
      <c r="R252" s="575"/>
      <c r="S252" s="575"/>
      <c r="T252" s="575"/>
      <c r="U252" s="575"/>
      <c r="V252" s="575"/>
      <c r="W252" s="575"/>
      <c r="X252" s="396"/>
      <c r="Y252" s="396"/>
      <c r="Z252" s="396"/>
      <c r="AA252" s="396"/>
      <c r="AB252" s="405"/>
      <c r="AC252" s="403"/>
      <c r="AD252" s="413"/>
      <c r="AE252" s="413"/>
      <c r="AF252" s="413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</row>
    <row r="253" spans="1:42" s="157" customFormat="1" ht="15" customHeight="1">
      <c r="A253" s="790">
        <v>109.07</v>
      </c>
      <c r="B253" s="790"/>
      <c r="C253" s="205">
        <v>815</v>
      </c>
      <c r="D253" s="821"/>
      <c r="E253" s="817">
        <f t="shared" si="25"/>
        <v>980</v>
      </c>
      <c r="F253" s="817"/>
      <c r="G253" s="817"/>
      <c r="H253" s="836">
        <f t="shared" si="24"/>
        <v>798700</v>
      </c>
      <c r="I253" s="837"/>
      <c r="J253" s="837"/>
      <c r="K253" s="837"/>
      <c r="L253" s="838"/>
      <c r="M253" s="789"/>
      <c r="N253" s="789"/>
      <c r="O253" s="284"/>
      <c r="P253" s="575"/>
      <c r="Q253" s="575"/>
      <c r="R253" s="575"/>
      <c r="S253" s="575"/>
      <c r="T253" s="575"/>
      <c r="U253" s="575"/>
      <c r="V253" s="575"/>
      <c r="W253" s="575"/>
      <c r="X253" s="396"/>
      <c r="Y253" s="396"/>
      <c r="Z253" s="396"/>
      <c r="AA253" s="396"/>
      <c r="AB253" s="405"/>
      <c r="AC253" s="403"/>
      <c r="AD253" s="413"/>
      <c r="AE253" s="413"/>
      <c r="AF253" s="413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</row>
    <row r="254" spans="1:42" s="157" customFormat="1" ht="15" customHeight="1">
      <c r="A254" s="790">
        <v>128.9</v>
      </c>
      <c r="B254" s="790"/>
      <c r="C254" s="205">
        <v>68</v>
      </c>
      <c r="D254" s="821"/>
      <c r="E254" s="817">
        <f t="shared" si="25"/>
        <v>1160</v>
      </c>
      <c r="F254" s="817"/>
      <c r="G254" s="817"/>
      <c r="H254" s="836">
        <f t="shared" si="24"/>
        <v>78880</v>
      </c>
      <c r="I254" s="837"/>
      <c r="J254" s="837"/>
      <c r="K254" s="837"/>
      <c r="L254" s="838"/>
      <c r="M254" s="789"/>
      <c r="N254" s="789"/>
      <c r="O254" s="284"/>
      <c r="P254" s="575"/>
      <c r="Q254" s="575"/>
      <c r="R254" s="575"/>
      <c r="S254" s="575"/>
      <c r="T254" s="575"/>
      <c r="U254" s="575"/>
      <c r="V254" s="575"/>
      <c r="W254" s="575"/>
      <c r="X254" s="396"/>
      <c r="Y254" s="396"/>
      <c r="Z254" s="396"/>
      <c r="AA254" s="396"/>
      <c r="AB254" s="405"/>
      <c r="AC254" s="403"/>
      <c r="AD254" s="413"/>
      <c r="AE254" s="413"/>
      <c r="AF254" s="413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</row>
    <row r="255" spans="1:42" s="157" customFormat="1" ht="15" customHeight="1">
      <c r="A255" s="790">
        <v>158.63999999999999</v>
      </c>
      <c r="B255" s="790"/>
      <c r="C255" s="205">
        <v>102</v>
      </c>
      <c r="D255" s="821"/>
      <c r="E255" s="817">
        <f t="shared" si="25"/>
        <v>1430</v>
      </c>
      <c r="F255" s="817"/>
      <c r="G255" s="817"/>
      <c r="H255" s="836">
        <f t="shared" si="24"/>
        <v>145860</v>
      </c>
      <c r="I255" s="837"/>
      <c r="J255" s="837"/>
      <c r="K255" s="837"/>
      <c r="L255" s="838"/>
      <c r="M255" s="789"/>
      <c r="N255" s="789"/>
      <c r="O255" s="284"/>
      <c r="P255" s="575"/>
      <c r="Q255" s="575"/>
      <c r="R255" s="575"/>
      <c r="S255" s="575"/>
      <c r="T255" s="575"/>
      <c r="U255" s="575"/>
      <c r="V255" s="575"/>
      <c r="W255" s="575"/>
      <c r="X255" s="396"/>
      <c r="Y255" s="396"/>
      <c r="Z255" s="396"/>
      <c r="AA255" s="396"/>
      <c r="AB255" s="405"/>
      <c r="AC255" s="403"/>
      <c r="AD255" s="413"/>
      <c r="AE255" s="413"/>
      <c r="AF255" s="413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</row>
    <row r="256" spans="1:42" s="157" customFormat="1" ht="15" customHeight="1">
      <c r="A256" s="790">
        <v>188.39</v>
      </c>
      <c r="B256" s="790"/>
      <c r="C256" s="205">
        <v>34</v>
      </c>
      <c r="D256" s="821"/>
      <c r="E256" s="817">
        <f t="shared" si="25"/>
        <v>1700</v>
      </c>
      <c r="F256" s="817"/>
      <c r="G256" s="817"/>
      <c r="H256" s="836">
        <f t="shared" si="24"/>
        <v>57800</v>
      </c>
      <c r="I256" s="837"/>
      <c r="J256" s="837"/>
      <c r="K256" s="837"/>
      <c r="L256" s="838"/>
      <c r="M256" s="789"/>
      <c r="N256" s="789"/>
      <c r="O256" s="459"/>
      <c r="P256" s="379"/>
      <c r="Q256" s="361"/>
      <c r="R256" s="361"/>
      <c r="S256" s="361"/>
      <c r="T256" s="575"/>
      <c r="U256" s="575"/>
      <c r="V256" s="575"/>
      <c r="W256" s="575"/>
      <c r="X256" s="396"/>
      <c r="Y256" s="396"/>
      <c r="Z256" s="396"/>
      <c r="AA256" s="396"/>
      <c r="AB256" s="405"/>
      <c r="AC256" s="403"/>
      <c r="AD256" s="413"/>
      <c r="AE256" s="413"/>
      <c r="AF256" s="413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</row>
    <row r="257" spans="1:42" s="157" customFormat="1" ht="15" customHeight="1">
      <c r="A257" s="790">
        <v>221.44</v>
      </c>
      <c r="B257" s="790"/>
      <c r="C257" s="205">
        <v>34</v>
      </c>
      <c r="D257" s="822"/>
      <c r="E257" s="817">
        <f t="shared" si="25"/>
        <v>2000</v>
      </c>
      <c r="F257" s="817"/>
      <c r="G257" s="817"/>
      <c r="H257" s="836">
        <f t="shared" si="24"/>
        <v>68000</v>
      </c>
      <c r="I257" s="837"/>
      <c r="J257" s="837"/>
      <c r="K257" s="837"/>
      <c r="L257" s="838"/>
      <c r="M257" s="807"/>
      <c r="N257" s="807"/>
      <c r="O257" s="459"/>
      <c r="P257" s="379"/>
      <c r="Q257" s="379"/>
      <c r="R257" s="379"/>
      <c r="S257" s="575"/>
      <c r="T257" s="575"/>
      <c r="U257" s="575"/>
      <c r="V257" s="575"/>
      <c r="W257" s="575"/>
      <c r="X257" s="396"/>
      <c r="Y257" s="396"/>
      <c r="Z257" s="396"/>
      <c r="AA257" s="396"/>
      <c r="AB257" s="405"/>
      <c r="AC257" s="403"/>
      <c r="AD257" s="413"/>
      <c r="AE257" s="413"/>
      <c r="AF257" s="413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</row>
    <row r="258" spans="1:42" s="157" customFormat="1" ht="15" customHeight="1">
      <c r="A258" s="834" t="s">
        <v>192</v>
      </c>
      <c r="B258" s="835"/>
      <c r="C258" s="216">
        <f>SUM(C251:C257)</f>
        <v>1507</v>
      </c>
      <c r="D258" s="217"/>
      <c r="E258" s="817"/>
      <c r="F258" s="817"/>
      <c r="G258" s="817"/>
      <c r="H258" s="857">
        <f>SUM(H251:H257)</f>
        <v>1497680</v>
      </c>
      <c r="I258" s="858"/>
      <c r="J258" s="858"/>
      <c r="K258" s="858"/>
      <c r="L258" s="859"/>
      <c r="M258" s="177" t="s">
        <v>238</v>
      </c>
      <c r="N258" s="227">
        <f>H258-A249</f>
        <v>-2320</v>
      </c>
      <c r="O258" s="284"/>
      <c r="P258" s="575"/>
      <c r="Q258" s="575"/>
      <c r="R258" s="575"/>
      <c r="S258" s="379"/>
      <c r="T258" s="379"/>
      <c r="U258" s="379"/>
      <c r="V258" s="379"/>
      <c r="W258" s="379"/>
      <c r="X258" s="379"/>
      <c r="Y258" s="379"/>
      <c r="Z258" s="379"/>
      <c r="AA258" s="379"/>
      <c r="AB258" s="424"/>
      <c r="AC258" s="403"/>
      <c r="AD258" s="413"/>
      <c r="AE258" s="413"/>
      <c r="AF258" s="413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</row>
    <row r="259" spans="1:42" s="157" customFormat="1" ht="13.5" customHeight="1">
      <c r="A259" s="331" t="s">
        <v>369</v>
      </c>
      <c r="B259" s="230"/>
      <c r="C259" s="230"/>
      <c r="D259" s="180"/>
      <c r="E259" s="180"/>
      <c r="F259" s="180" t="s">
        <v>240</v>
      </c>
      <c r="G259" s="180"/>
      <c r="H259" s="180"/>
      <c r="I259" s="180"/>
      <c r="J259" s="180"/>
      <c r="K259" s="180"/>
      <c r="M259" s="867">
        <f>A260</f>
        <v>350000</v>
      </c>
      <c r="N259" s="867"/>
      <c r="O259" s="284"/>
      <c r="P259" s="575"/>
      <c r="Q259" s="575"/>
      <c r="R259" s="575"/>
      <c r="S259" s="575"/>
      <c r="T259" s="575"/>
      <c r="U259" s="575"/>
      <c r="V259" s="575"/>
      <c r="W259" s="575"/>
      <c r="X259" s="396"/>
      <c r="Y259" s="396"/>
      <c r="Z259" s="396"/>
      <c r="AA259" s="396"/>
      <c r="AB259" s="405"/>
      <c r="AC259" s="403"/>
      <c r="AD259" s="413"/>
      <c r="AE259" s="413"/>
      <c r="AF259" s="413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</row>
    <row r="260" spans="1:42" s="157" customFormat="1" ht="11.25" customHeight="1">
      <c r="A260" s="833">
        <v>350000</v>
      </c>
      <c r="B260" s="833"/>
      <c r="C260" s="833"/>
      <c r="D260" s="198">
        <v>166370</v>
      </c>
      <c r="E260" s="233" t="s">
        <v>250</v>
      </c>
      <c r="F260" s="142" t="s">
        <v>229</v>
      </c>
      <c r="G260" s="860">
        <f>ROUND(A260/D260,2)</f>
        <v>2.1</v>
      </c>
      <c r="H260" s="860"/>
      <c r="I260" s="861"/>
      <c r="J260" s="861"/>
      <c r="K260" s="861"/>
      <c r="L260" s="861"/>
      <c r="M260" s="861"/>
      <c r="N260" s="861"/>
      <c r="O260" s="284"/>
      <c r="P260" s="575"/>
      <c r="Q260" s="575"/>
      <c r="R260" s="575"/>
      <c r="S260" s="575"/>
      <c r="T260" s="575"/>
      <c r="U260" s="575"/>
      <c r="V260" s="575"/>
      <c r="W260" s="575"/>
      <c r="X260" s="396"/>
      <c r="Y260" s="396"/>
      <c r="Z260" s="396"/>
      <c r="AA260" s="396"/>
      <c r="AB260" s="405"/>
      <c r="AC260" s="403"/>
      <c r="AD260" s="413"/>
      <c r="AE260" s="413"/>
      <c r="AF260" s="413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</row>
    <row r="261" spans="1:42" s="157" customFormat="1" ht="14.25" customHeight="1" thickBot="1">
      <c r="A261" s="862" t="s">
        <v>232</v>
      </c>
      <c r="B261" s="863"/>
      <c r="C261" s="234" t="s">
        <v>233</v>
      </c>
      <c r="D261" s="182" t="s">
        <v>234</v>
      </c>
      <c r="E261" s="864" t="s">
        <v>235</v>
      </c>
      <c r="F261" s="865"/>
      <c r="G261" s="866"/>
      <c r="H261" s="864" t="s">
        <v>236</v>
      </c>
      <c r="I261" s="865"/>
      <c r="J261" s="865"/>
      <c r="K261" s="865"/>
      <c r="L261" s="866"/>
      <c r="M261" s="864" t="s">
        <v>244</v>
      </c>
      <c r="N261" s="866"/>
      <c r="O261" s="284"/>
      <c r="P261" s="575"/>
      <c r="Q261" s="575"/>
      <c r="R261" s="575"/>
      <c r="S261" s="575"/>
      <c r="T261" s="575"/>
      <c r="U261" s="575"/>
      <c r="V261" s="575"/>
      <c r="W261" s="575"/>
      <c r="X261" s="396"/>
      <c r="Y261" s="396"/>
      <c r="Z261" s="396"/>
      <c r="AA261" s="396"/>
      <c r="AB261" s="405"/>
      <c r="AC261" s="403"/>
      <c r="AD261" s="413"/>
      <c r="AE261" s="413"/>
      <c r="AF261" s="413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</row>
    <row r="262" spans="1:42" s="247" customFormat="1" ht="12.75" customHeight="1" thickTop="1">
      <c r="A262" s="876">
        <v>79.319999999999993</v>
      </c>
      <c r="B262" s="877"/>
      <c r="C262" s="259">
        <v>258</v>
      </c>
      <c r="D262" s="870">
        <f>G260</f>
        <v>2.1</v>
      </c>
      <c r="E262" s="856">
        <f t="shared" ref="E262:E268" si="26">ROUND(A262*$D$262,-1)</f>
        <v>170</v>
      </c>
      <c r="F262" s="856"/>
      <c r="G262" s="856"/>
      <c r="H262" s="873">
        <f t="shared" ref="H262:H268" si="27">ROUND(E262*C262,0)</f>
        <v>43860</v>
      </c>
      <c r="I262" s="874"/>
      <c r="J262" s="874"/>
      <c r="K262" s="874"/>
      <c r="L262" s="875"/>
      <c r="M262" s="878"/>
      <c r="N262" s="879"/>
      <c r="O262" s="179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407"/>
      <c r="AC262" s="446"/>
      <c r="AD262" s="452"/>
      <c r="AE262" s="452"/>
      <c r="AF262" s="452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</row>
    <row r="263" spans="1:42" s="247" customFormat="1" ht="12.75" customHeight="1">
      <c r="A263" s="854">
        <v>92.54</v>
      </c>
      <c r="B263" s="855"/>
      <c r="C263" s="260">
        <v>196</v>
      </c>
      <c r="D263" s="871"/>
      <c r="E263" s="856">
        <f t="shared" si="26"/>
        <v>190</v>
      </c>
      <c r="F263" s="856"/>
      <c r="G263" s="856"/>
      <c r="H263" s="848">
        <f t="shared" si="27"/>
        <v>37240</v>
      </c>
      <c r="I263" s="849"/>
      <c r="J263" s="849"/>
      <c r="K263" s="849"/>
      <c r="L263" s="850"/>
      <c r="M263" s="868"/>
      <c r="N263" s="869"/>
      <c r="O263" s="179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  <c r="AA263" s="367"/>
      <c r="AB263" s="407"/>
      <c r="AC263" s="446"/>
      <c r="AD263" s="452"/>
      <c r="AE263" s="452"/>
      <c r="AF263" s="452"/>
      <c r="AG263" s="256"/>
      <c r="AH263" s="256"/>
      <c r="AI263" s="256"/>
      <c r="AJ263" s="256"/>
      <c r="AK263" s="256"/>
      <c r="AL263" s="256"/>
      <c r="AM263" s="256"/>
      <c r="AN263" s="256"/>
      <c r="AO263" s="256"/>
      <c r="AP263" s="256"/>
    </row>
    <row r="264" spans="1:42" s="247" customFormat="1" ht="12.75" customHeight="1">
      <c r="A264" s="854">
        <v>109.07</v>
      </c>
      <c r="B264" s="855"/>
      <c r="C264" s="260">
        <v>815</v>
      </c>
      <c r="D264" s="871"/>
      <c r="E264" s="856">
        <f t="shared" si="26"/>
        <v>230</v>
      </c>
      <c r="F264" s="856"/>
      <c r="G264" s="856"/>
      <c r="H264" s="848">
        <f t="shared" si="27"/>
        <v>187450</v>
      </c>
      <c r="I264" s="849"/>
      <c r="J264" s="849"/>
      <c r="K264" s="849"/>
      <c r="L264" s="850"/>
      <c r="M264" s="868"/>
      <c r="N264" s="869"/>
      <c r="O264" s="179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  <c r="Z264" s="367"/>
      <c r="AA264" s="367"/>
      <c r="AB264" s="407"/>
      <c r="AC264" s="446"/>
      <c r="AD264" s="452"/>
      <c r="AE264" s="452"/>
      <c r="AF264" s="452"/>
      <c r="AG264" s="256"/>
      <c r="AH264" s="256"/>
      <c r="AI264" s="256"/>
      <c r="AJ264" s="256"/>
      <c r="AK264" s="256"/>
      <c r="AL264" s="256"/>
      <c r="AM264" s="256"/>
      <c r="AN264" s="256"/>
      <c r="AO264" s="256"/>
      <c r="AP264" s="256"/>
    </row>
    <row r="265" spans="1:42" s="247" customFormat="1" ht="12.75" customHeight="1">
      <c r="A265" s="854">
        <v>128.9</v>
      </c>
      <c r="B265" s="855"/>
      <c r="C265" s="260">
        <v>68</v>
      </c>
      <c r="D265" s="871"/>
      <c r="E265" s="856">
        <f t="shared" si="26"/>
        <v>270</v>
      </c>
      <c r="F265" s="856"/>
      <c r="G265" s="856"/>
      <c r="H265" s="848">
        <f t="shared" si="27"/>
        <v>18360</v>
      </c>
      <c r="I265" s="849"/>
      <c r="J265" s="849"/>
      <c r="K265" s="849"/>
      <c r="L265" s="850"/>
      <c r="M265" s="868"/>
      <c r="N265" s="869"/>
      <c r="O265" s="179"/>
      <c r="P265" s="367"/>
      <c r="Q265" s="367"/>
      <c r="R265" s="367"/>
      <c r="S265" s="367"/>
      <c r="T265" s="367"/>
      <c r="U265" s="367"/>
      <c r="V265" s="367"/>
      <c r="W265" s="367"/>
      <c r="X265" s="367"/>
      <c r="Y265" s="367"/>
      <c r="Z265" s="367"/>
      <c r="AA265" s="367"/>
      <c r="AB265" s="407"/>
      <c r="AC265" s="446"/>
      <c r="AD265" s="452"/>
      <c r="AE265" s="452"/>
      <c r="AF265" s="452"/>
      <c r="AG265" s="256"/>
      <c r="AH265" s="256"/>
      <c r="AI265" s="256"/>
      <c r="AJ265" s="256"/>
      <c r="AK265" s="256"/>
      <c r="AL265" s="256"/>
      <c r="AM265" s="256"/>
      <c r="AN265" s="256"/>
      <c r="AO265" s="256"/>
      <c r="AP265" s="256"/>
    </row>
    <row r="266" spans="1:42" s="247" customFormat="1" ht="12.75" customHeight="1">
      <c r="A266" s="854">
        <v>158.63999999999999</v>
      </c>
      <c r="B266" s="855"/>
      <c r="C266" s="260">
        <v>102</v>
      </c>
      <c r="D266" s="871"/>
      <c r="E266" s="856">
        <f t="shared" si="26"/>
        <v>330</v>
      </c>
      <c r="F266" s="856"/>
      <c r="G266" s="856"/>
      <c r="H266" s="848">
        <f t="shared" si="27"/>
        <v>33660</v>
      </c>
      <c r="I266" s="849"/>
      <c r="J266" s="849"/>
      <c r="K266" s="849"/>
      <c r="L266" s="850"/>
      <c r="M266" s="868"/>
      <c r="N266" s="869"/>
      <c r="O266" s="179"/>
      <c r="P266" s="367"/>
      <c r="Q266" s="367"/>
      <c r="R266" s="367"/>
      <c r="S266" s="367"/>
      <c r="T266" s="367"/>
      <c r="U266" s="367"/>
      <c r="V266" s="367"/>
      <c r="W266" s="367"/>
      <c r="X266" s="367"/>
      <c r="Y266" s="367"/>
      <c r="Z266" s="367"/>
      <c r="AA266" s="367"/>
      <c r="AB266" s="407"/>
      <c r="AC266" s="446"/>
      <c r="AD266" s="452"/>
      <c r="AE266" s="452"/>
      <c r="AF266" s="452"/>
      <c r="AG266" s="256"/>
      <c r="AH266" s="256"/>
      <c r="AI266" s="256"/>
      <c r="AJ266" s="256"/>
      <c r="AK266" s="256"/>
      <c r="AL266" s="256"/>
      <c r="AM266" s="256"/>
      <c r="AN266" s="256"/>
      <c r="AO266" s="256"/>
      <c r="AP266" s="256"/>
    </row>
    <row r="267" spans="1:42" s="247" customFormat="1" ht="12.75" customHeight="1">
      <c r="A267" s="854">
        <v>188.39</v>
      </c>
      <c r="B267" s="855"/>
      <c r="C267" s="260">
        <v>34</v>
      </c>
      <c r="D267" s="871"/>
      <c r="E267" s="856">
        <f t="shared" si="26"/>
        <v>400</v>
      </c>
      <c r="F267" s="856"/>
      <c r="G267" s="856"/>
      <c r="H267" s="848">
        <f t="shared" si="27"/>
        <v>13600</v>
      </c>
      <c r="I267" s="849"/>
      <c r="J267" s="849"/>
      <c r="K267" s="849"/>
      <c r="L267" s="850"/>
      <c r="M267" s="868"/>
      <c r="N267" s="869"/>
      <c r="O267" s="492"/>
      <c r="P267" s="395"/>
      <c r="Q267" s="395"/>
      <c r="R267" s="395"/>
      <c r="S267" s="367"/>
      <c r="T267" s="367"/>
      <c r="U267" s="367"/>
      <c r="V267" s="367"/>
      <c r="W267" s="367"/>
      <c r="X267" s="367"/>
      <c r="Y267" s="367"/>
      <c r="Z267" s="367"/>
      <c r="AA267" s="367"/>
      <c r="AB267" s="407"/>
      <c r="AC267" s="446"/>
      <c r="AD267" s="452"/>
      <c r="AE267" s="452"/>
      <c r="AF267" s="452"/>
      <c r="AG267" s="256"/>
      <c r="AH267" s="256"/>
      <c r="AI267" s="256"/>
      <c r="AJ267" s="256"/>
      <c r="AK267" s="256"/>
      <c r="AL267" s="256"/>
      <c r="AM267" s="256"/>
      <c r="AN267" s="256"/>
      <c r="AO267" s="256"/>
      <c r="AP267" s="256"/>
    </row>
    <row r="268" spans="1:42" s="247" customFormat="1" ht="12.75" customHeight="1">
      <c r="A268" s="854">
        <v>221.44</v>
      </c>
      <c r="B268" s="855"/>
      <c r="C268" s="260">
        <v>34</v>
      </c>
      <c r="D268" s="872"/>
      <c r="E268" s="856">
        <f t="shared" si="26"/>
        <v>470</v>
      </c>
      <c r="F268" s="856"/>
      <c r="G268" s="856"/>
      <c r="H268" s="848">
        <f t="shared" si="27"/>
        <v>15980</v>
      </c>
      <c r="I268" s="849"/>
      <c r="J268" s="849"/>
      <c r="K268" s="849"/>
      <c r="L268" s="850"/>
      <c r="M268" s="868"/>
      <c r="N268" s="869"/>
      <c r="O268" s="492"/>
      <c r="P268" s="395"/>
      <c r="Q268" s="395"/>
      <c r="R268" s="395"/>
      <c r="S268" s="367"/>
      <c r="T268" s="367"/>
      <c r="U268" s="367"/>
      <c r="V268" s="367"/>
      <c r="W268" s="367"/>
      <c r="X268" s="367"/>
      <c r="Y268" s="367"/>
      <c r="Z268" s="367"/>
      <c r="AA268" s="367"/>
      <c r="AB268" s="407"/>
      <c r="AC268" s="446"/>
      <c r="AD268" s="452"/>
      <c r="AE268" s="452"/>
      <c r="AF268" s="452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</row>
    <row r="269" spans="1:42" s="247" customFormat="1" ht="12.75" customHeight="1">
      <c r="A269" s="846" t="s">
        <v>287</v>
      </c>
      <c r="B269" s="847"/>
      <c r="C269" s="261">
        <f>SUM(C262:C268)</f>
        <v>1507</v>
      </c>
      <c r="D269" s="262"/>
      <c r="E269" s="848"/>
      <c r="F269" s="849"/>
      <c r="G269" s="850"/>
      <c r="H269" s="851">
        <f>SUM(H262:H268)</f>
        <v>350150</v>
      </c>
      <c r="I269" s="852"/>
      <c r="J269" s="852"/>
      <c r="K269" s="852"/>
      <c r="L269" s="853"/>
      <c r="M269" s="263" t="s">
        <v>288</v>
      </c>
      <c r="N269" s="258">
        <f>H269-A260</f>
        <v>150</v>
      </c>
      <c r="O269" s="492"/>
      <c r="P269" s="395"/>
      <c r="Q269" s="395"/>
      <c r="R269" s="395"/>
      <c r="S269" s="395"/>
      <c r="T269" s="395"/>
      <c r="U269" s="395"/>
      <c r="V269" s="395"/>
      <c r="W269" s="395"/>
      <c r="X269" s="395"/>
      <c r="Y269" s="395"/>
      <c r="Z269" s="395"/>
      <c r="AA269" s="395"/>
      <c r="AB269" s="453"/>
      <c r="AC269" s="446"/>
      <c r="AD269" s="452"/>
      <c r="AE269" s="452"/>
      <c r="AF269" s="452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</row>
    <row r="270" spans="1:42" ht="6" customHeight="1"/>
    <row r="271" spans="1:42" s="568" customFormat="1" ht="18.75" customHeight="1">
      <c r="A271" s="792" t="s">
        <v>442</v>
      </c>
      <c r="B271" s="792"/>
      <c r="C271" s="792"/>
      <c r="D271" s="792"/>
      <c r="E271" s="792"/>
      <c r="F271" s="792"/>
      <c r="G271" s="792"/>
      <c r="H271" s="792"/>
      <c r="I271" s="792"/>
      <c r="J271" s="792"/>
      <c r="K271" s="792"/>
      <c r="L271" s="792"/>
      <c r="P271" s="583"/>
      <c r="Q271" s="583"/>
      <c r="R271" s="583"/>
      <c r="S271" s="583"/>
      <c r="T271" s="583"/>
      <c r="U271" s="583"/>
      <c r="V271" s="583"/>
      <c r="W271" s="583"/>
    </row>
    <row r="272" spans="1:42" s="570" customFormat="1" ht="12.75" customHeight="1">
      <c r="A272" s="793" t="s">
        <v>434</v>
      </c>
      <c r="B272" s="793"/>
      <c r="C272" s="793" t="s">
        <v>433</v>
      </c>
      <c r="D272" s="793"/>
      <c r="E272" s="793"/>
      <c r="F272" s="801" t="s">
        <v>441</v>
      </c>
      <c r="G272" s="802"/>
      <c r="H272" s="803"/>
      <c r="I272" s="793" t="s">
        <v>435</v>
      </c>
      <c r="J272" s="793"/>
      <c r="K272" s="793"/>
      <c r="L272" s="793"/>
      <c r="M272" s="793" t="s">
        <v>436</v>
      </c>
      <c r="N272" s="793"/>
      <c r="P272" s="651"/>
      <c r="Q272" s="651"/>
      <c r="R272" s="651"/>
      <c r="S272" s="651"/>
      <c r="T272" s="651"/>
      <c r="U272" s="651"/>
      <c r="V272" s="651"/>
      <c r="W272" s="651"/>
    </row>
    <row r="273" spans="1:42" s="570" customFormat="1" ht="14.25" customHeight="1">
      <c r="A273" s="794" t="s">
        <v>707</v>
      </c>
      <c r="B273" s="794"/>
      <c r="C273" s="795" t="s">
        <v>440</v>
      </c>
      <c r="D273" s="795"/>
      <c r="E273" s="795"/>
      <c r="F273" s="804">
        <v>235106558</v>
      </c>
      <c r="G273" s="805"/>
      <c r="H273" s="806"/>
      <c r="I273" s="795"/>
      <c r="J273" s="795"/>
      <c r="K273" s="795"/>
      <c r="L273" s="795"/>
      <c r="M273" s="796">
        <v>235106558</v>
      </c>
      <c r="N273" s="796"/>
      <c r="P273" s="651"/>
      <c r="Q273" s="651"/>
      <c r="R273" s="651"/>
      <c r="S273" s="651"/>
      <c r="T273" s="651"/>
      <c r="U273" s="651"/>
      <c r="V273" s="651"/>
      <c r="W273" s="651"/>
    </row>
    <row r="274" spans="1:42" s="570" customFormat="1" ht="14.25" customHeight="1">
      <c r="A274" s="794"/>
      <c r="B274" s="794"/>
      <c r="C274" s="795" t="s">
        <v>437</v>
      </c>
      <c r="D274" s="795"/>
      <c r="E274" s="795"/>
      <c r="F274" s="795"/>
      <c r="G274" s="795"/>
      <c r="H274" s="795"/>
      <c r="I274" s="798">
        <v>2090000</v>
      </c>
      <c r="J274" s="799"/>
      <c r="K274" s="799"/>
      <c r="L274" s="800"/>
      <c r="M274" s="797">
        <f>M273-I274</f>
        <v>233016558</v>
      </c>
      <c r="N274" s="795"/>
      <c r="P274" s="651"/>
      <c r="Q274" s="651"/>
      <c r="R274" s="651"/>
      <c r="S274" s="651"/>
      <c r="T274" s="651"/>
      <c r="U274" s="651"/>
      <c r="V274" s="651"/>
      <c r="W274" s="651"/>
    </row>
    <row r="275" spans="1:42" s="570" customFormat="1" ht="14.25" customHeight="1">
      <c r="A275" s="794"/>
      <c r="B275" s="794"/>
      <c r="C275" s="795" t="s">
        <v>438</v>
      </c>
      <c r="D275" s="795"/>
      <c r="E275" s="795"/>
      <c r="F275" s="795"/>
      <c r="G275" s="795"/>
      <c r="H275" s="795"/>
      <c r="I275" s="796">
        <v>75240000</v>
      </c>
      <c r="J275" s="796"/>
      <c r="K275" s="796"/>
      <c r="L275" s="796"/>
      <c r="M275" s="797">
        <f>M274-I275</f>
        <v>157776558</v>
      </c>
      <c r="N275" s="795"/>
      <c r="P275" s="651"/>
      <c r="Q275" s="651"/>
      <c r="R275" s="651"/>
      <c r="S275" s="651"/>
      <c r="T275" s="651"/>
      <c r="U275" s="651"/>
      <c r="V275" s="651"/>
      <c r="W275" s="651"/>
    </row>
    <row r="276" spans="1:42" s="570" customFormat="1" ht="14.25" customHeight="1">
      <c r="A276" s="791" t="s">
        <v>439</v>
      </c>
      <c r="B276" s="791"/>
      <c r="C276" s="791"/>
      <c r="D276" s="791"/>
      <c r="E276" s="791"/>
      <c r="F276" s="791"/>
      <c r="G276" s="791"/>
      <c r="H276" s="791"/>
      <c r="I276" s="791"/>
      <c r="J276" s="791"/>
      <c r="K276" s="791"/>
      <c r="L276" s="791"/>
      <c r="M276" s="791"/>
      <c r="N276" s="791"/>
      <c r="P276" s="651"/>
      <c r="Q276" s="651"/>
      <c r="R276" s="651"/>
      <c r="S276" s="651"/>
      <c r="T276" s="651"/>
      <c r="U276" s="651"/>
      <c r="V276" s="651"/>
      <c r="W276" s="651"/>
    </row>
    <row r="277" spans="1:42" ht="18" customHeight="1">
      <c r="AD277" s="412"/>
      <c r="AE277" s="412"/>
      <c r="AF277" s="412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</row>
    <row r="278" spans="1:42">
      <c r="AD278" s="412"/>
      <c r="AE278" s="412"/>
      <c r="AF278" s="412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</row>
    <row r="279" spans="1:42">
      <c r="AD279" s="412"/>
      <c r="AE279" s="412"/>
      <c r="AF279" s="412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</row>
    <row r="280" spans="1:42">
      <c r="AD280" s="412"/>
      <c r="AE280" s="412"/>
      <c r="AF280" s="412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</row>
    <row r="281" spans="1:42">
      <c r="AD281" s="412"/>
      <c r="AE281" s="412"/>
      <c r="AF281" s="412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</row>
    <row r="282" spans="1:42">
      <c r="AD282" s="412"/>
      <c r="AE282" s="412"/>
      <c r="AF282" s="412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</row>
    <row r="283" spans="1:42">
      <c r="AD283" s="412"/>
      <c r="AE283" s="412"/>
      <c r="AF283" s="412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</row>
    <row r="284" spans="1:42">
      <c r="AD284" s="412"/>
      <c r="AE284" s="412"/>
      <c r="AF284" s="412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</row>
    <row r="285" spans="1:42">
      <c r="AD285" s="412"/>
      <c r="AE285" s="412"/>
      <c r="AF285" s="412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</row>
    <row r="286" spans="1:42">
      <c r="AD286" s="412"/>
      <c r="AE286" s="412"/>
      <c r="AF286" s="412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</row>
    <row r="287" spans="1:42">
      <c r="AD287" s="412"/>
      <c r="AE287" s="412"/>
      <c r="AF287" s="412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</row>
    <row r="288" spans="1:42">
      <c r="AD288" s="412"/>
      <c r="AE288" s="412"/>
      <c r="AF288" s="412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</row>
    <row r="289" spans="30:42">
      <c r="AD289" s="412"/>
      <c r="AE289" s="412"/>
      <c r="AF289" s="412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</row>
    <row r="290" spans="30:42">
      <c r="AD290" s="412"/>
      <c r="AE290" s="412"/>
      <c r="AF290" s="412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</row>
    <row r="291" spans="30:42">
      <c r="AD291" s="412"/>
      <c r="AE291" s="412"/>
      <c r="AF291" s="412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</row>
    <row r="292" spans="30:42">
      <c r="AD292" s="412"/>
      <c r="AE292" s="412"/>
      <c r="AF292" s="412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</row>
    <row r="293" spans="30:42">
      <c r="AD293" s="412"/>
      <c r="AE293" s="412"/>
      <c r="AF293" s="412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</row>
    <row r="294" spans="30:42">
      <c r="AD294" s="412"/>
      <c r="AE294" s="412"/>
      <c r="AF294" s="412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</row>
    <row r="295" spans="30:42">
      <c r="AD295" s="412"/>
      <c r="AE295" s="412"/>
      <c r="AF295" s="412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</row>
    <row r="296" spans="30:42">
      <c r="AD296" s="412"/>
      <c r="AE296" s="412"/>
      <c r="AF296" s="412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</row>
    <row r="297" spans="30:42">
      <c r="AD297" s="412"/>
      <c r="AE297" s="412"/>
      <c r="AF297" s="412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</row>
    <row r="298" spans="30:42">
      <c r="AD298" s="412"/>
      <c r="AE298" s="412"/>
      <c r="AF298" s="412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</row>
    <row r="299" spans="30:42">
      <c r="AD299" s="412"/>
      <c r="AE299" s="412"/>
      <c r="AF299" s="412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</row>
    <row r="300" spans="30:42">
      <c r="AD300" s="412"/>
      <c r="AE300" s="412"/>
      <c r="AF300" s="412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</row>
    <row r="301" spans="30:42">
      <c r="AD301" s="412"/>
      <c r="AE301" s="412"/>
      <c r="AF301" s="412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</row>
    <row r="302" spans="30:42">
      <c r="AD302" s="412"/>
      <c r="AE302" s="412"/>
      <c r="AF302" s="412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</row>
    <row r="303" spans="30:42">
      <c r="AD303" s="412"/>
      <c r="AE303" s="412"/>
      <c r="AF303" s="412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</row>
    <row r="304" spans="30:42">
      <c r="AD304" s="412"/>
      <c r="AE304" s="412"/>
      <c r="AF304" s="412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</row>
    <row r="305" spans="30:42">
      <c r="AD305" s="412"/>
      <c r="AE305" s="412"/>
      <c r="AF305" s="412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</row>
    <row r="306" spans="30:42">
      <c r="AD306" s="412"/>
      <c r="AE306" s="412"/>
      <c r="AF306" s="412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</row>
    <row r="307" spans="30:42">
      <c r="AD307" s="412"/>
      <c r="AE307" s="412"/>
      <c r="AF307" s="412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</row>
    <row r="308" spans="30:42">
      <c r="AD308" s="412"/>
      <c r="AE308" s="412"/>
      <c r="AF308" s="412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</row>
    <row r="309" spans="30:42">
      <c r="AD309" s="412"/>
      <c r="AE309" s="412"/>
      <c r="AF309" s="412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</row>
    <row r="310" spans="30:42">
      <c r="AD310" s="412"/>
      <c r="AE310" s="412"/>
      <c r="AF310" s="412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</row>
    <row r="311" spans="30:42">
      <c r="AD311" s="412"/>
      <c r="AE311" s="412"/>
      <c r="AF311" s="412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</row>
    <row r="312" spans="30:42">
      <c r="AD312" s="412"/>
      <c r="AE312" s="412"/>
      <c r="AF312" s="412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</row>
    <row r="313" spans="30:42">
      <c r="AD313" s="412"/>
      <c r="AE313" s="412"/>
      <c r="AF313" s="412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</row>
    <row r="314" spans="30:42">
      <c r="AD314" s="412"/>
      <c r="AE314" s="412"/>
      <c r="AF314" s="412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</row>
    <row r="315" spans="30:42">
      <c r="AD315" s="412"/>
      <c r="AE315" s="412"/>
      <c r="AF315" s="412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</row>
    <row r="316" spans="30:42">
      <c r="AD316" s="412"/>
      <c r="AE316" s="412"/>
      <c r="AF316" s="412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</row>
    <row r="317" spans="30:42">
      <c r="AD317" s="412"/>
      <c r="AE317" s="412"/>
      <c r="AF317" s="412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</row>
  </sheetData>
  <mergeCells count="816">
    <mergeCell ref="A107:B107"/>
    <mergeCell ref="M139:N139"/>
    <mergeCell ref="I149:N149"/>
    <mergeCell ref="H125:L125"/>
    <mergeCell ref="A122:B122"/>
    <mergeCell ref="E125:G125"/>
    <mergeCell ref="H141:L141"/>
    <mergeCell ref="E122:G122"/>
    <mergeCell ref="E138:G138"/>
    <mergeCell ref="M134:N134"/>
    <mergeCell ref="A146:C146"/>
    <mergeCell ref="H117:L117"/>
    <mergeCell ref="A136:B136"/>
    <mergeCell ref="E139:G139"/>
    <mergeCell ref="A138:B138"/>
    <mergeCell ref="A142:B142"/>
    <mergeCell ref="G145:N145"/>
    <mergeCell ref="H137:L137"/>
    <mergeCell ref="G149:H149"/>
    <mergeCell ref="E142:G142"/>
    <mergeCell ref="D145:F145"/>
    <mergeCell ref="A119:B119"/>
    <mergeCell ref="A121:B121"/>
    <mergeCell ref="A123:B123"/>
    <mergeCell ref="AC238:AE238"/>
    <mergeCell ref="AH238:AL238"/>
    <mergeCell ref="H253:L253"/>
    <mergeCell ref="M253:N253"/>
    <mergeCell ref="E242:E243"/>
    <mergeCell ref="M250:N250"/>
    <mergeCell ref="H238:L238"/>
    <mergeCell ref="F246:G246"/>
    <mergeCell ref="O248:R248"/>
    <mergeCell ref="F244:G244"/>
    <mergeCell ref="F245:G245"/>
    <mergeCell ref="F242:G243"/>
    <mergeCell ref="H252:L252"/>
    <mergeCell ref="O240:O241"/>
    <mergeCell ref="R240:R241"/>
    <mergeCell ref="H250:L250"/>
    <mergeCell ref="E252:G252"/>
    <mergeCell ref="E250:G250"/>
    <mergeCell ref="M248:N248"/>
    <mergeCell ref="H245:J245"/>
    <mergeCell ref="H246:J246"/>
    <mergeCell ref="I249:N249"/>
    <mergeCell ref="N242:N243"/>
    <mergeCell ref="E251:G251"/>
    <mergeCell ref="AH233:AJ233"/>
    <mergeCell ref="K245:M245"/>
    <mergeCell ref="K244:M244"/>
    <mergeCell ref="A212:C212"/>
    <mergeCell ref="A204:B204"/>
    <mergeCell ref="A249:C249"/>
    <mergeCell ref="E232:G232"/>
    <mergeCell ref="H233:L233"/>
    <mergeCell ref="M237:N237"/>
    <mergeCell ref="M236:N236"/>
    <mergeCell ref="H236:L236"/>
    <mergeCell ref="A206:N206"/>
    <mergeCell ref="A207:C207"/>
    <mergeCell ref="D207:E207"/>
    <mergeCell ref="F207:H207"/>
    <mergeCell ref="I207:M207"/>
    <mergeCell ref="A208:C208"/>
    <mergeCell ref="D208:E208"/>
    <mergeCell ref="F208:H208"/>
    <mergeCell ref="I208:M208"/>
    <mergeCell ref="A218:B218"/>
    <mergeCell ref="M221:N221"/>
    <mergeCell ref="E237:G237"/>
    <mergeCell ref="M219:N219"/>
    <mergeCell ref="A185:B185"/>
    <mergeCell ref="A216:B216"/>
    <mergeCell ref="H237:L237"/>
    <mergeCell ref="AM238:AP238"/>
    <mergeCell ref="S242:S243"/>
    <mergeCell ref="AF238:AG238"/>
    <mergeCell ref="G249:H249"/>
    <mergeCell ref="H242:J243"/>
    <mergeCell ref="K242:M243"/>
    <mergeCell ref="E238:G238"/>
    <mergeCell ref="AP231:AP232"/>
    <mergeCell ref="AC236:AP236"/>
    <mergeCell ref="AH237:AL237"/>
    <mergeCell ref="AF237:AG237"/>
    <mergeCell ref="AC237:AE237"/>
    <mergeCell ref="AN235:AO235"/>
    <mergeCell ref="AN233:AO233"/>
    <mergeCell ref="AN234:AO234"/>
    <mergeCell ref="AE231:AE232"/>
    <mergeCell ref="AF231:AF232"/>
    <mergeCell ref="AG231:AJ232"/>
    <mergeCell ref="AN231:AO232"/>
    <mergeCell ref="AK231:AM232"/>
    <mergeCell ref="AC231:AD232"/>
    <mergeCell ref="M222:N222"/>
    <mergeCell ref="M255:N255"/>
    <mergeCell ref="E253:G253"/>
    <mergeCell ref="H251:L251"/>
    <mergeCell ref="H254:L254"/>
    <mergeCell ref="M223:N223"/>
    <mergeCell ref="A168:C179"/>
    <mergeCell ref="A231:B231"/>
    <mergeCell ref="A234:B234"/>
    <mergeCell ref="A236:B236"/>
    <mergeCell ref="A238:B238"/>
    <mergeCell ref="E236:G236"/>
    <mergeCell ref="A233:B233"/>
    <mergeCell ref="A235:B235"/>
    <mergeCell ref="D231:D237"/>
    <mergeCell ref="A237:B237"/>
    <mergeCell ref="G183:H183"/>
    <mergeCell ref="H217:L217"/>
    <mergeCell ref="E189:G189"/>
    <mergeCell ref="A186:B186"/>
    <mergeCell ref="A192:B192"/>
    <mergeCell ref="E222:G222"/>
    <mergeCell ref="H222:L222"/>
    <mergeCell ref="D185:D191"/>
    <mergeCell ref="AE233:AE235"/>
    <mergeCell ref="AH235:AJ235"/>
    <mergeCell ref="AK235:AM235"/>
    <mergeCell ref="H232:L232"/>
    <mergeCell ref="E200:G200"/>
    <mergeCell ref="M203:N203"/>
    <mergeCell ref="G212:N212"/>
    <mergeCell ref="G213:N213"/>
    <mergeCell ref="G229:H229"/>
    <mergeCell ref="I229:N229"/>
    <mergeCell ref="H224:L224"/>
    <mergeCell ref="M230:N230"/>
    <mergeCell ref="E231:G231"/>
    <mergeCell ref="I215:N215"/>
    <mergeCell ref="E219:G219"/>
    <mergeCell ref="M217:N217"/>
    <mergeCell ref="H223:L223"/>
    <mergeCell ref="M226:N226"/>
    <mergeCell ref="E224:G224"/>
    <mergeCell ref="E223:G223"/>
    <mergeCell ref="H220:L220"/>
    <mergeCell ref="H221:L221"/>
    <mergeCell ref="E202:G202"/>
    <mergeCell ref="D213:F213"/>
    <mergeCell ref="P176:S176"/>
    <mergeCell ref="T176:W176"/>
    <mergeCell ref="H178:K178"/>
    <mergeCell ref="E187:G187"/>
    <mergeCell ref="M194:N194"/>
    <mergeCell ref="H197:L197"/>
    <mergeCell ref="M190:N190"/>
    <mergeCell ref="E190:G190"/>
    <mergeCell ref="E192:G192"/>
    <mergeCell ref="H190:L190"/>
    <mergeCell ref="E191:G191"/>
    <mergeCell ref="H196:L196"/>
    <mergeCell ref="E196:G196"/>
    <mergeCell ref="H191:L191"/>
    <mergeCell ref="H180:K180"/>
    <mergeCell ref="L180:N180"/>
    <mergeCell ref="M187:N187"/>
    <mergeCell ref="I183:N183"/>
    <mergeCell ref="H185:L185"/>
    <mergeCell ref="M184:N184"/>
    <mergeCell ref="A195:N195"/>
    <mergeCell ref="L179:N179"/>
    <mergeCell ref="L178:N178"/>
    <mergeCell ref="D179:G179"/>
    <mergeCell ref="AM237:AP237"/>
    <mergeCell ref="H230:L230"/>
    <mergeCell ref="E230:G230"/>
    <mergeCell ref="M235:N235"/>
    <mergeCell ref="E234:G234"/>
    <mergeCell ref="E233:G233"/>
    <mergeCell ref="E201:G201"/>
    <mergeCell ref="G215:H215"/>
    <mergeCell ref="E216:G216"/>
    <mergeCell ref="H202:L202"/>
    <mergeCell ref="H201:L201"/>
    <mergeCell ref="AC230:AJ230"/>
    <mergeCell ref="AK230:AO230"/>
    <mergeCell ref="AF233:AF235"/>
    <mergeCell ref="AC233:AD235"/>
    <mergeCell ref="AK233:AM233"/>
    <mergeCell ref="M232:N232"/>
    <mergeCell ref="H231:L231"/>
    <mergeCell ref="M231:N231"/>
    <mergeCell ref="M233:N233"/>
    <mergeCell ref="E217:G217"/>
    <mergeCell ref="H219:L219"/>
    <mergeCell ref="AK234:AM234"/>
    <mergeCell ref="AH234:AJ234"/>
    <mergeCell ref="E188:G188"/>
    <mergeCell ref="M189:N189"/>
    <mergeCell ref="H187:L187"/>
    <mergeCell ref="M191:N191"/>
    <mergeCell ref="A190:B190"/>
    <mergeCell ref="M196:N196"/>
    <mergeCell ref="H200:L200"/>
    <mergeCell ref="M198:N198"/>
    <mergeCell ref="H198:L198"/>
    <mergeCell ref="A191:B191"/>
    <mergeCell ref="M197:N197"/>
    <mergeCell ref="H192:L192"/>
    <mergeCell ref="E198:G198"/>
    <mergeCell ref="E199:G199"/>
    <mergeCell ref="H188:L188"/>
    <mergeCell ref="A187:B187"/>
    <mergeCell ref="A199:B199"/>
    <mergeCell ref="A198:B198"/>
    <mergeCell ref="A200:B200"/>
    <mergeCell ref="A189:B189"/>
    <mergeCell ref="A197:B197"/>
    <mergeCell ref="D197:D203"/>
    <mergeCell ref="A201:B201"/>
    <mergeCell ref="E203:G203"/>
    <mergeCell ref="E81:G81"/>
    <mergeCell ref="E84:G84"/>
    <mergeCell ref="H162:K162"/>
    <mergeCell ref="L162:N162"/>
    <mergeCell ref="D169:G169"/>
    <mergeCell ref="D170:G170"/>
    <mergeCell ref="D172:G172"/>
    <mergeCell ref="M138:N138"/>
    <mergeCell ref="H139:L139"/>
    <mergeCell ref="M140:N140"/>
    <mergeCell ref="H140:L140"/>
    <mergeCell ref="H136:L136"/>
    <mergeCell ref="D129:F129"/>
    <mergeCell ref="I133:N133"/>
    <mergeCell ref="G146:N146"/>
    <mergeCell ref="M123:N123"/>
    <mergeCell ref="H155:L155"/>
    <mergeCell ref="M155:N155"/>
    <mergeCell ref="E155:G155"/>
    <mergeCell ref="E153:G153"/>
    <mergeCell ref="E154:G154"/>
    <mergeCell ref="H138:L138"/>
    <mergeCell ref="E140:G140"/>
    <mergeCell ref="E158:G158"/>
    <mergeCell ref="A46:C46"/>
    <mergeCell ref="K30:M30"/>
    <mergeCell ref="A33:C33"/>
    <mergeCell ref="H157:L157"/>
    <mergeCell ref="M157:N157"/>
    <mergeCell ref="H168:K168"/>
    <mergeCell ref="L168:N168"/>
    <mergeCell ref="L171:N171"/>
    <mergeCell ref="D177:G177"/>
    <mergeCell ref="G51:N51"/>
    <mergeCell ref="G58:N58"/>
    <mergeCell ref="A35:D35"/>
    <mergeCell ref="B40:C40"/>
    <mergeCell ref="A47:C47"/>
    <mergeCell ref="M36:N36"/>
    <mergeCell ref="A38:C38"/>
    <mergeCell ref="A42:A45"/>
    <mergeCell ref="A37:N37"/>
    <mergeCell ref="A36:C36"/>
    <mergeCell ref="A49:C49"/>
    <mergeCell ref="A74:C74"/>
    <mergeCell ref="D74:F74"/>
    <mergeCell ref="G74:N74"/>
    <mergeCell ref="A81:B81"/>
    <mergeCell ref="B43:C43"/>
    <mergeCell ref="B45:C45"/>
    <mergeCell ref="B41:C41"/>
    <mergeCell ref="B39:C39"/>
    <mergeCell ref="A39:A41"/>
    <mergeCell ref="B44:C44"/>
    <mergeCell ref="K31:M31"/>
    <mergeCell ref="H31:J31"/>
    <mergeCell ref="H32:J32"/>
    <mergeCell ref="K33:M33"/>
    <mergeCell ref="H33:J33"/>
    <mergeCell ref="K32:M32"/>
    <mergeCell ref="E32:G32"/>
    <mergeCell ref="E31:G31"/>
    <mergeCell ref="B42:C42"/>
    <mergeCell ref="E33:G33"/>
    <mergeCell ref="A66:B66"/>
    <mergeCell ref="H63:L63"/>
    <mergeCell ref="A63:B63"/>
    <mergeCell ref="M62:N62"/>
    <mergeCell ref="F72:L72"/>
    <mergeCell ref="H68:L68"/>
    <mergeCell ref="E65:G65"/>
    <mergeCell ref="E66:G66"/>
    <mergeCell ref="E63:G63"/>
    <mergeCell ref="A18:C18"/>
    <mergeCell ref="A17:C17"/>
    <mergeCell ref="A19:B23"/>
    <mergeCell ref="H28:J28"/>
    <mergeCell ref="A16:C16"/>
    <mergeCell ref="A24:B32"/>
    <mergeCell ref="K27:M27"/>
    <mergeCell ref="A15:C15"/>
    <mergeCell ref="E18:G18"/>
    <mergeCell ref="H17:J17"/>
    <mergeCell ref="E30:G30"/>
    <mergeCell ref="E29:G29"/>
    <mergeCell ref="H29:J29"/>
    <mergeCell ref="K29:M29"/>
    <mergeCell ref="K25:M25"/>
    <mergeCell ref="E27:G27"/>
    <mergeCell ref="K22:M22"/>
    <mergeCell ref="H23:J23"/>
    <mergeCell ref="E26:G26"/>
    <mergeCell ref="E17:G17"/>
    <mergeCell ref="H18:J18"/>
    <mergeCell ref="K18:M18"/>
    <mergeCell ref="K28:M28"/>
    <mergeCell ref="H11:J11"/>
    <mergeCell ref="G53:N53"/>
    <mergeCell ref="H69:L69"/>
    <mergeCell ref="H67:L67"/>
    <mergeCell ref="E69:G69"/>
    <mergeCell ref="H30:J30"/>
    <mergeCell ref="E28:G28"/>
    <mergeCell ref="K19:M19"/>
    <mergeCell ref="G46:N46"/>
    <mergeCell ref="G54:N54"/>
    <mergeCell ref="K15:M15"/>
    <mergeCell ref="H14:J14"/>
    <mergeCell ref="E13:G13"/>
    <mergeCell ref="H13:J13"/>
    <mergeCell ref="K14:M14"/>
    <mergeCell ref="K13:M13"/>
    <mergeCell ref="E15:G15"/>
    <mergeCell ref="H15:J15"/>
    <mergeCell ref="E16:G16"/>
    <mergeCell ref="K16:M16"/>
    <mergeCell ref="H65:L65"/>
    <mergeCell ref="I60:N60"/>
    <mergeCell ref="G57:N57"/>
    <mergeCell ref="G61:H61"/>
    <mergeCell ref="A7:C7"/>
    <mergeCell ref="E9:G9"/>
    <mergeCell ref="E8:G8"/>
    <mergeCell ref="A9:C9"/>
    <mergeCell ref="A12:C12"/>
    <mergeCell ref="A10:C10"/>
    <mergeCell ref="E12:G12"/>
    <mergeCell ref="E10:G10"/>
    <mergeCell ref="A8:C8"/>
    <mergeCell ref="A11:C11"/>
    <mergeCell ref="E11:G11"/>
    <mergeCell ref="A13:C13"/>
    <mergeCell ref="A14:C14"/>
    <mergeCell ref="K17:M17"/>
    <mergeCell ref="K26:M26"/>
    <mergeCell ref="K20:M20"/>
    <mergeCell ref="H24:J24"/>
    <mergeCell ref="E24:G24"/>
    <mergeCell ref="H26:J26"/>
    <mergeCell ref="K4:M5"/>
    <mergeCell ref="K6:M6"/>
    <mergeCell ref="E19:G19"/>
    <mergeCell ref="K9:M9"/>
    <mergeCell ref="K7:M7"/>
    <mergeCell ref="K8:M8"/>
    <mergeCell ref="E7:G7"/>
    <mergeCell ref="H7:J7"/>
    <mergeCell ref="H8:J8"/>
    <mergeCell ref="H9:J9"/>
    <mergeCell ref="H5:J5"/>
    <mergeCell ref="K12:M12"/>
    <mergeCell ref="K10:M10"/>
    <mergeCell ref="K11:M11"/>
    <mergeCell ref="H12:J12"/>
    <mergeCell ref="E14:G14"/>
    <mergeCell ref="A4:C5"/>
    <mergeCell ref="A6:C6"/>
    <mergeCell ref="N19:N21"/>
    <mergeCell ref="N27:N30"/>
    <mergeCell ref="K21:M21"/>
    <mergeCell ref="H27:J27"/>
    <mergeCell ref="E25:G25"/>
    <mergeCell ref="H25:J25"/>
    <mergeCell ref="H20:J20"/>
    <mergeCell ref="H16:J16"/>
    <mergeCell ref="K24:M24"/>
    <mergeCell ref="E22:G22"/>
    <mergeCell ref="E23:G23"/>
    <mergeCell ref="E21:G21"/>
    <mergeCell ref="E20:G20"/>
    <mergeCell ref="H21:J21"/>
    <mergeCell ref="H6:J6"/>
    <mergeCell ref="K23:M23"/>
    <mergeCell ref="N4:N5"/>
    <mergeCell ref="H10:J10"/>
    <mergeCell ref="E5:G5"/>
    <mergeCell ref="E6:G6"/>
    <mergeCell ref="H19:J19"/>
    <mergeCell ref="H22:J22"/>
    <mergeCell ref="A157:B157"/>
    <mergeCell ref="A58:C58"/>
    <mergeCell ref="G50:N50"/>
    <mergeCell ref="M72:N72"/>
    <mergeCell ref="A59:G59"/>
    <mergeCell ref="A60:C60"/>
    <mergeCell ref="G60:H60"/>
    <mergeCell ref="H62:L62"/>
    <mergeCell ref="A62:B62"/>
    <mergeCell ref="A53:C53"/>
    <mergeCell ref="D68:D69"/>
    <mergeCell ref="D63:D67"/>
    <mergeCell ref="A54:C54"/>
    <mergeCell ref="A51:C51"/>
    <mergeCell ref="A50:C50"/>
    <mergeCell ref="A52:C52"/>
    <mergeCell ref="G52:N52"/>
    <mergeCell ref="A56:C56"/>
    <mergeCell ref="D75:F75"/>
    <mergeCell ref="G75:N75"/>
    <mergeCell ref="A64:B64"/>
    <mergeCell ref="A61:C61"/>
    <mergeCell ref="A69:B69"/>
    <mergeCell ref="A70:B70"/>
    <mergeCell ref="D178:G178"/>
    <mergeCell ref="E185:G185"/>
    <mergeCell ref="M188:N188"/>
    <mergeCell ref="H189:L189"/>
    <mergeCell ref="E184:G184"/>
    <mergeCell ref="H186:L186"/>
    <mergeCell ref="A182:N182"/>
    <mergeCell ref="M240:N240"/>
    <mergeCell ref="H152:L152"/>
    <mergeCell ref="L175:N175"/>
    <mergeCell ref="H177:K177"/>
    <mergeCell ref="H176:K176"/>
    <mergeCell ref="L176:N176"/>
    <mergeCell ref="L174:N174"/>
    <mergeCell ref="D171:G171"/>
    <mergeCell ref="L170:N170"/>
    <mergeCell ref="H174:K174"/>
    <mergeCell ref="E235:G235"/>
    <mergeCell ref="H235:L235"/>
    <mergeCell ref="M234:N234"/>
    <mergeCell ref="H234:L234"/>
    <mergeCell ref="A180:G180"/>
    <mergeCell ref="E186:G186"/>
    <mergeCell ref="A188:B188"/>
    <mergeCell ref="A152:B152"/>
    <mergeCell ref="E152:G152"/>
    <mergeCell ref="A153:B153"/>
    <mergeCell ref="M185:N185"/>
    <mergeCell ref="M186:N186"/>
    <mergeCell ref="A156:B156"/>
    <mergeCell ref="H184:L184"/>
    <mergeCell ref="A184:B184"/>
    <mergeCell ref="A154:B154"/>
    <mergeCell ref="A155:B155"/>
    <mergeCell ref="A162:C162"/>
    <mergeCell ref="A158:B158"/>
    <mergeCell ref="D168:G168"/>
    <mergeCell ref="L177:N177"/>
    <mergeCell ref="D176:G176"/>
    <mergeCell ref="H169:K169"/>
    <mergeCell ref="D173:G173"/>
    <mergeCell ref="H179:K179"/>
    <mergeCell ref="A183:C183"/>
    <mergeCell ref="D162:G162"/>
    <mergeCell ref="E156:G156"/>
    <mergeCell ref="M160:N160"/>
    <mergeCell ref="M154:N154"/>
    <mergeCell ref="H170:K170"/>
    <mergeCell ref="M152:N152"/>
    <mergeCell ref="M153:N153"/>
    <mergeCell ref="H150:L150"/>
    <mergeCell ref="D175:G175"/>
    <mergeCell ref="H175:K175"/>
    <mergeCell ref="D166:G166"/>
    <mergeCell ref="H166:K166"/>
    <mergeCell ref="L166:N166"/>
    <mergeCell ref="H171:K171"/>
    <mergeCell ref="M156:N156"/>
    <mergeCell ref="M150:N150"/>
    <mergeCell ref="H156:L156"/>
    <mergeCell ref="H154:L154"/>
    <mergeCell ref="H153:L153"/>
    <mergeCell ref="H173:K173"/>
    <mergeCell ref="L173:N173"/>
    <mergeCell ref="D174:G174"/>
    <mergeCell ref="E157:G157"/>
    <mergeCell ref="D151:D157"/>
    <mergeCell ref="E151:G151"/>
    <mergeCell ref="H172:K172"/>
    <mergeCell ref="L169:N169"/>
    <mergeCell ref="L172:N172"/>
    <mergeCell ref="H158:L158"/>
    <mergeCell ref="A151:B151"/>
    <mergeCell ref="A145:C145"/>
    <mergeCell ref="A135:B135"/>
    <mergeCell ref="H142:L142"/>
    <mergeCell ref="M143:N143"/>
    <mergeCell ref="A150:B150"/>
    <mergeCell ref="M141:N141"/>
    <mergeCell ref="A134:B134"/>
    <mergeCell ref="M136:N136"/>
    <mergeCell ref="E141:G141"/>
    <mergeCell ref="H134:L134"/>
    <mergeCell ref="E134:G134"/>
    <mergeCell ref="A140:B140"/>
    <mergeCell ref="A137:B137"/>
    <mergeCell ref="A148:N148"/>
    <mergeCell ref="A149:C149"/>
    <mergeCell ref="D146:F146"/>
    <mergeCell ref="H151:L151"/>
    <mergeCell ref="M151:N151"/>
    <mergeCell ref="E150:G150"/>
    <mergeCell ref="E119:G119"/>
    <mergeCell ref="M137:N137"/>
    <mergeCell ref="D135:D141"/>
    <mergeCell ref="M135:N135"/>
    <mergeCell ref="H121:L121"/>
    <mergeCell ref="H122:L122"/>
    <mergeCell ref="A130:C130"/>
    <mergeCell ref="D130:F130"/>
    <mergeCell ref="G133:H133"/>
    <mergeCell ref="E121:G121"/>
    <mergeCell ref="A141:B141"/>
    <mergeCell ref="E137:G137"/>
    <mergeCell ref="E136:G136"/>
    <mergeCell ref="H135:L135"/>
    <mergeCell ref="A139:B139"/>
    <mergeCell ref="E135:G135"/>
    <mergeCell ref="G130:N130"/>
    <mergeCell ref="A120:B120"/>
    <mergeCell ref="A124:B124"/>
    <mergeCell ref="E124:G124"/>
    <mergeCell ref="A129:C129"/>
    <mergeCell ref="I116:N116"/>
    <mergeCell ref="A133:C133"/>
    <mergeCell ref="M127:N127"/>
    <mergeCell ref="A132:N132"/>
    <mergeCell ref="G129:N129"/>
    <mergeCell ref="M124:N124"/>
    <mergeCell ref="H124:L124"/>
    <mergeCell ref="A118:B118"/>
    <mergeCell ref="E123:G123"/>
    <mergeCell ref="E117:G117"/>
    <mergeCell ref="G116:H116"/>
    <mergeCell ref="E118:G118"/>
    <mergeCell ref="H118:L118"/>
    <mergeCell ref="H123:L123"/>
    <mergeCell ref="M120:N120"/>
    <mergeCell ref="H120:L120"/>
    <mergeCell ref="E120:G120"/>
    <mergeCell ref="A125:B125"/>
    <mergeCell ref="M118:N118"/>
    <mergeCell ref="M121:N121"/>
    <mergeCell ref="D118:D124"/>
    <mergeCell ref="H119:L119"/>
    <mergeCell ref="M122:N122"/>
    <mergeCell ref="M119:N119"/>
    <mergeCell ref="A117:B117"/>
    <mergeCell ref="E104:G104"/>
    <mergeCell ref="D100:D104"/>
    <mergeCell ref="H101:L101"/>
    <mergeCell ref="E101:G101"/>
    <mergeCell ref="A101:B101"/>
    <mergeCell ref="E100:G100"/>
    <mergeCell ref="A109:N109"/>
    <mergeCell ref="A105:B105"/>
    <mergeCell ref="A116:C116"/>
    <mergeCell ref="H105:L105"/>
    <mergeCell ref="M105:N105"/>
    <mergeCell ref="E107:G107"/>
    <mergeCell ref="A106:B106"/>
    <mergeCell ref="M111:N111"/>
    <mergeCell ref="M106:N106"/>
    <mergeCell ref="D105:D106"/>
    <mergeCell ref="E105:G105"/>
    <mergeCell ref="H106:L106"/>
    <mergeCell ref="H107:L107"/>
    <mergeCell ref="E106:G106"/>
    <mergeCell ref="A115:N115"/>
    <mergeCell ref="M117:N117"/>
    <mergeCell ref="A114:C114"/>
    <mergeCell ref="G114:N114"/>
    <mergeCell ref="A113:C113"/>
    <mergeCell ref="A97:C97"/>
    <mergeCell ref="G97:H97"/>
    <mergeCell ref="I97:N97"/>
    <mergeCell ref="D114:F114"/>
    <mergeCell ref="H99:L99"/>
    <mergeCell ref="E99:G99"/>
    <mergeCell ref="G98:H98"/>
    <mergeCell ref="A104:B104"/>
    <mergeCell ref="H104:L104"/>
    <mergeCell ref="M100:N100"/>
    <mergeCell ref="M101:N101"/>
    <mergeCell ref="M99:N99"/>
    <mergeCell ref="A99:B99"/>
    <mergeCell ref="A98:C98"/>
    <mergeCell ref="M103:N103"/>
    <mergeCell ref="D113:F113"/>
    <mergeCell ref="E102:G102"/>
    <mergeCell ref="G113:N113"/>
    <mergeCell ref="M104:N104"/>
    <mergeCell ref="A103:B103"/>
    <mergeCell ref="E103:G103"/>
    <mergeCell ref="M102:N102"/>
    <mergeCell ref="A87:B87"/>
    <mergeCell ref="A86:B86"/>
    <mergeCell ref="E83:G83"/>
    <mergeCell ref="M87:N87"/>
    <mergeCell ref="M86:N86"/>
    <mergeCell ref="E87:G87"/>
    <mergeCell ref="D86:D87"/>
    <mergeCell ref="E86:G86"/>
    <mergeCell ref="H86:L86"/>
    <mergeCell ref="H84:L84"/>
    <mergeCell ref="A83:B83"/>
    <mergeCell ref="A85:B85"/>
    <mergeCell ref="A84:B84"/>
    <mergeCell ref="D81:D85"/>
    <mergeCell ref="M83:N83"/>
    <mergeCell ref="H87:L87"/>
    <mergeCell ref="H82:L82"/>
    <mergeCell ref="M85:N85"/>
    <mergeCell ref="H81:L81"/>
    <mergeCell ref="E82:G82"/>
    <mergeCell ref="M84:N84"/>
    <mergeCell ref="E85:G85"/>
    <mergeCell ref="H85:L85"/>
    <mergeCell ref="H83:L83"/>
    <mergeCell ref="M82:N82"/>
    <mergeCell ref="M80:N80"/>
    <mergeCell ref="A82:B82"/>
    <mergeCell ref="H66:L66"/>
    <mergeCell ref="A67:B67"/>
    <mergeCell ref="E62:G62"/>
    <mergeCell ref="A68:B68"/>
    <mergeCell ref="E68:G68"/>
    <mergeCell ref="E70:G70"/>
    <mergeCell ref="H70:L70"/>
    <mergeCell ref="A65:B65"/>
    <mergeCell ref="E67:G67"/>
    <mergeCell ref="G79:H79"/>
    <mergeCell ref="A71:N71"/>
    <mergeCell ref="M81:N81"/>
    <mergeCell ref="H80:L80"/>
    <mergeCell ref="A78:C78"/>
    <mergeCell ref="G78:H78"/>
    <mergeCell ref="I78:N78"/>
    <mergeCell ref="A75:C75"/>
    <mergeCell ref="E64:G64"/>
    <mergeCell ref="H64:L64"/>
    <mergeCell ref="A80:B80"/>
    <mergeCell ref="E80:G80"/>
    <mergeCell ref="H88:L88"/>
    <mergeCell ref="E88:G88"/>
    <mergeCell ref="H102:L102"/>
    <mergeCell ref="G93:N93"/>
    <mergeCell ref="D94:F94"/>
    <mergeCell ref="A96:N96"/>
    <mergeCell ref="A94:C94"/>
    <mergeCell ref="D93:F93"/>
    <mergeCell ref="G94:N94"/>
    <mergeCell ref="A48:C48"/>
    <mergeCell ref="A57:C57"/>
    <mergeCell ref="H163:K163"/>
    <mergeCell ref="H164:K164"/>
    <mergeCell ref="H165:K165"/>
    <mergeCell ref="H167:K167"/>
    <mergeCell ref="L163:N163"/>
    <mergeCell ref="L164:N164"/>
    <mergeCell ref="L165:N165"/>
    <mergeCell ref="L167:N167"/>
    <mergeCell ref="A163:C167"/>
    <mergeCell ref="D163:G163"/>
    <mergeCell ref="D164:G164"/>
    <mergeCell ref="D165:G165"/>
    <mergeCell ref="D167:G167"/>
    <mergeCell ref="A79:C79"/>
    <mergeCell ref="H103:L103"/>
    <mergeCell ref="A102:B102"/>
    <mergeCell ref="H100:L100"/>
    <mergeCell ref="A100:B100"/>
    <mergeCell ref="A88:B88"/>
    <mergeCell ref="A93:C93"/>
    <mergeCell ref="A90:N90"/>
    <mergeCell ref="M91:N91"/>
    <mergeCell ref="H203:L203"/>
    <mergeCell ref="A196:B196"/>
    <mergeCell ref="M199:N199"/>
    <mergeCell ref="E197:G197"/>
    <mergeCell ref="H216:L216"/>
    <mergeCell ref="E218:G218"/>
    <mergeCell ref="M201:N201"/>
    <mergeCell ref="M200:N200"/>
    <mergeCell ref="H199:L199"/>
    <mergeCell ref="H218:L218"/>
    <mergeCell ref="A214:N214"/>
    <mergeCell ref="A203:B203"/>
    <mergeCell ref="A202:B202"/>
    <mergeCell ref="M216:N216"/>
    <mergeCell ref="A217:B217"/>
    <mergeCell ref="D212:F212"/>
    <mergeCell ref="E204:G204"/>
    <mergeCell ref="M210:N210"/>
    <mergeCell ref="H204:L204"/>
    <mergeCell ref="M202:N202"/>
    <mergeCell ref="A215:C215"/>
    <mergeCell ref="M218:N218"/>
    <mergeCell ref="A213:C213"/>
    <mergeCell ref="M259:N259"/>
    <mergeCell ref="M267:N267"/>
    <mergeCell ref="D262:D268"/>
    <mergeCell ref="E262:G262"/>
    <mergeCell ref="H262:L262"/>
    <mergeCell ref="H264:L264"/>
    <mergeCell ref="M264:N264"/>
    <mergeCell ref="A262:B262"/>
    <mergeCell ref="A268:B268"/>
    <mergeCell ref="E268:G268"/>
    <mergeCell ref="H268:L268"/>
    <mergeCell ref="A263:B263"/>
    <mergeCell ref="M268:N268"/>
    <mergeCell ref="M262:N262"/>
    <mergeCell ref="H263:L263"/>
    <mergeCell ref="M263:N263"/>
    <mergeCell ref="A264:B264"/>
    <mergeCell ref="M265:N265"/>
    <mergeCell ref="A266:B266"/>
    <mergeCell ref="E266:G266"/>
    <mergeCell ref="H266:L266"/>
    <mergeCell ref="M266:N266"/>
    <mergeCell ref="E263:G263"/>
    <mergeCell ref="A269:B269"/>
    <mergeCell ref="E269:G269"/>
    <mergeCell ref="H269:L269"/>
    <mergeCell ref="A265:B265"/>
    <mergeCell ref="E265:G265"/>
    <mergeCell ref="H265:L265"/>
    <mergeCell ref="E258:G258"/>
    <mergeCell ref="H258:L258"/>
    <mergeCell ref="D251:D257"/>
    <mergeCell ref="A252:B252"/>
    <mergeCell ref="A267:B267"/>
    <mergeCell ref="E267:G267"/>
    <mergeCell ref="H267:L267"/>
    <mergeCell ref="E264:G264"/>
    <mergeCell ref="A258:B258"/>
    <mergeCell ref="A260:C260"/>
    <mergeCell ref="G260:H260"/>
    <mergeCell ref="H256:L256"/>
    <mergeCell ref="E255:G255"/>
    <mergeCell ref="I260:N260"/>
    <mergeCell ref="A261:B261"/>
    <mergeCell ref="E261:G261"/>
    <mergeCell ref="H261:L261"/>
    <mergeCell ref="M261:N261"/>
    <mergeCell ref="H257:L257"/>
    <mergeCell ref="A222:B222"/>
    <mergeCell ref="E220:G220"/>
    <mergeCell ref="E221:G221"/>
    <mergeCell ref="A220:B220"/>
    <mergeCell ref="A257:B257"/>
    <mergeCell ref="H255:L255"/>
    <mergeCell ref="E257:G257"/>
    <mergeCell ref="A250:B250"/>
    <mergeCell ref="A244:B246"/>
    <mergeCell ref="A251:B251"/>
    <mergeCell ref="A254:B254"/>
    <mergeCell ref="D242:D243"/>
    <mergeCell ref="M257:N257"/>
    <mergeCell ref="M252:N252"/>
    <mergeCell ref="M256:N256"/>
    <mergeCell ref="M254:N254"/>
    <mergeCell ref="N244:N245"/>
    <mergeCell ref="K246:M246"/>
    <mergeCell ref="H244:J244"/>
    <mergeCell ref="M251:N251"/>
    <mergeCell ref="A219:B219"/>
    <mergeCell ref="E256:G256"/>
    <mergeCell ref="E254:G254"/>
    <mergeCell ref="A255:B255"/>
    <mergeCell ref="D244:D246"/>
    <mergeCell ref="D217:D223"/>
    <mergeCell ref="A232:B232"/>
    <mergeCell ref="A230:B230"/>
    <mergeCell ref="A256:B256"/>
    <mergeCell ref="A242:B243"/>
    <mergeCell ref="C244:C246"/>
    <mergeCell ref="C242:C243"/>
    <mergeCell ref="A229:C229"/>
    <mergeCell ref="A224:B224"/>
    <mergeCell ref="A221:B221"/>
    <mergeCell ref="A253:B253"/>
    <mergeCell ref="G56:N56"/>
    <mergeCell ref="A55:C55"/>
    <mergeCell ref="M220:N220"/>
    <mergeCell ref="A223:B223"/>
    <mergeCell ref="A276:N276"/>
    <mergeCell ref="A271:L271"/>
    <mergeCell ref="A272:B272"/>
    <mergeCell ref="C272:E272"/>
    <mergeCell ref="M272:N272"/>
    <mergeCell ref="A273:B275"/>
    <mergeCell ref="C273:E273"/>
    <mergeCell ref="M273:N273"/>
    <mergeCell ref="C274:E274"/>
    <mergeCell ref="M274:N274"/>
    <mergeCell ref="C275:E275"/>
    <mergeCell ref="M275:N275"/>
    <mergeCell ref="I272:L272"/>
    <mergeCell ref="I273:L273"/>
    <mergeCell ref="I274:L274"/>
    <mergeCell ref="I275:L275"/>
    <mergeCell ref="F272:H272"/>
    <mergeCell ref="F273:H273"/>
    <mergeCell ref="F274:H274"/>
    <mergeCell ref="F275:H275"/>
  </mergeCells>
  <phoneticPr fontId="4" type="noConversion"/>
  <printOptions horizontalCentered="1"/>
  <pageMargins left="0.27559055118110237" right="0.24" top="0.27" bottom="0.25" header="0.35" footer="0.2"/>
  <pageSetup paperSize="9" scale="98" orientation="portrait" useFirstPageNumber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4"/>
  <sheetViews>
    <sheetView workbookViewId="0">
      <selection activeCell="F6" sqref="F6:I10"/>
    </sheetView>
  </sheetViews>
  <sheetFormatPr defaultColWidth="2.59765625" defaultRowHeight="15" customHeight="1"/>
  <cols>
    <col min="1" max="8" width="2.59765625" style="105"/>
    <col min="9" max="9" width="3.19921875" style="105" bestFit="1" customWidth="1"/>
    <col min="10" max="10" width="3.59765625" style="105" customWidth="1"/>
    <col min="11" max="11" width="2.59765625" style="105"/>
    <col min="12" max="12" width="4" style="105" bestFit="1" customWidth="1"/>
    <col min="13" max="14" width="2.59765625" style="105"/>
    <col min="15" max="15" width="3.69921875" style="105" customWidth="1"/>
    <col min="16" max="16" width="2.3984375" style="105" customWidth="1"/>
    <col min="17" max="18" width="2.59765625" style="105"/>
    <col min="19" max="19" width="3.296875" style="105" customWidth="1"/>
    <col min="20" max="20" width="4.19921875" style="105" customWidth="1"/>
    <col min="21" max="22" width="2.59765625" style="105"/>
    <col min="23" max="23" width="4.19921875" style="105" customWidth="1"/>
    <col min="24" max="24" width="3" style="105" customWidth="1"/>
    <col min="25" max="25" width="2.59765625" style="105"/>
    <col min="26" max="26" width="1.796875" style="105" customWidth="1"/>
    <col min="27" max="31" width="2.59765625" style="105"/>
    <col min="32" max="32" width="2.59765625" style="105" customWidth="1"/>
    <col min="33" max="35" width="6" style="509" customWidth="1"/>
    <col min="36" max="36" width="16" style="509" customWidth="1"/>
    <col min="37" max="37" width="6" style="655" customWidth="1"/>
    <col min="38" max="49" width="6" style="509" customWidth="1"/>
    <col min="50" max="54" width="2.59765625" style="509"/>
    <col min="55" max="16384" width="2.59765625" style="130"/>
  </cols>
  <sheetData>
    <row r="1" spans="1:54" ht="15" customHeight="1">
      <c r="AI1" s="509" t="s">
        <v>644</v>
      </c>
    </row>
    <row r="2" spans="1:54" s="127" customFormat="1" ht="15" customHeight="1">
      <c r="B2" s="128" t="s">
        <v>443</v>
      </c>
      <c r="Y2" s="1162">
        <f>Q10</f>
        <v>34138810</v>
      </c>
      <c r="Z2" s="1162"/>
      <c r="AA2" s="1162"/>
      <c r="AB2" s="1162"/>
      <c r="AC2" s="1162"/>
      <c r="AD2" s="1162"/>
      <c r="AE2" s="1162"/>
      <c r="AG2" s="510"/>
      <c r="AH2" s="510"/>
      <c r="AI2" s="511">
        <f>Q10-Y2</f>
        <v>0</v>
      </c>
      <c r="AJ2" s="510"/>
      <c r="AK2" s="512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</row>
    <row r="3" spans="1:54" s="129" customFormat="1" ht="15" customHeight="1">
      <c r="B3" s="129" t="s">
        <v>552</v>
      </c>
      <c r="I3" s="300">
        <v>8</v>
      </c>
      <c r="J3" s="129" t="s">
        <v>553</v>
      </c>
      <c r="L3" s="129">
        <v>16</v>
      </c>
      <c r="M3" s="129" t="s">
        <v>554</v>
      </c>
      <c r="O3" s="129" t="s">
        <v>555</v>
      </c>
      <c r="Q3" s="129" t="s">
        <v>556</v>
      </c>
      <c r="T3" s="300">
        <v>9</v>
      </c>
      <c r="U3" s="129" t="s">
        <v>553</v>
      </c>
      <c r="W3" s="129">
        <v>15</v>
      </c>
      <c r="X3" s="129" t="s">
        <v>731</v>
      </c>
      <c r="AG3" s="513"/>
      <c r="AH3" s="513"/>
      <c r="AI3" s="514" t="s">
        <v>424</v>
      </c>
      <c r="AJ3" s="513"/>
      <c r="AK3" s="658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</row>
    <row r="4" spans="1:54" s="129" customFormat="1" ht="15" customHeight="1">
      <c r="B4" s="1120" t="s">
        <v>557</v>
      </c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  <c r="N4" s="1120"/>
      <c r="O4" s="1120"/>
      <c r="P4" s="1120"/>
      <c r="Q4" s="1120"/>
      <c r="R4" s="1120"/>
      <c r="S4" s="1120"/>
      <c r="T4" s="1120"/>
      <c r="U4" s="1120" t="s">
        <v>558</v>
      </c>
      <c r="V4" s="1120"/>
      <c r="W4" s="1120"/>
      <c r="X4" s="1120"/>
      <c r="Y4" s="1120"/>
      <c r="Z4" s="1120"/>
      <c r="AA4" s="1120"/>
      <c r="AB4" s="1120"/>
      <c r="AC4" s="1120"/>
      <c r="AD4" s="1120"/>
      <c r="AE4" s="1120"/>
      <c r="AG4" s="513"/>
      <c r="AH4" s="513"/>
      <c r="AI4" s="1215" t="s">
        <v>645</v>
      </c>
      <c r="AJ4" s="1215"/>
      <c r="AK4" s="1215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</row>
    <row r="5" spans="1:54" s="129" customFormat="1" ht="15" customHeight="1">
      <c r="B5" s="1120" t="s">
        <v>559</v>
      </c>
      <c r="C5" s="1120"/>
      <c r="D5" s="1120"/>
      <c r="E5" s="1120"/>
      <c r="F5" s="1120" t="s">
        <v>560</v>
      </c>
      <c r="G5" s="1120"/>
      <c r="H5" s="1120"/>
      <c r="I5" s="1120"/>
      <c r="J5" s="1120" t="s">
        <v>561</v>
      </c>
      <c r="K5" s="1120"/>
      <c r="L5" s="1120"/>
      <c r="M5" s="1120"/>
      <c r="N5" s="1120" t="s">
        <v>562</v>
      </c>
      <c r="O5" s="1120"/>
      <c r="P5" s="1120"/>
      <c r="Q5" s="1120"/>
      <c r="R5" s="1120"/>
      <c r="S5" s="1120"/>
      <c r="T5" s="1120"/>
      <c r="U5" s="1120" t="s">
        <v>563</v>
      </c>
      <c r="V5" s="1120"/>
      <c r="W5" s="1120"/>
      <c r="X5" s="1120"/>
      <c r="Y5" s="1120"/>
      <c r="Z5" s="1120"/>
      <c r="AA5" s="1120"/>
      <c r="AB5" s="1120"/>
      <c r="AC5" s="1120"/>
      <c r="AD5" s="1120"/>
      <c r="AE5" s="1120"/>
      <c r="AG5" s="513"/>
      <c r="AH5" s="513"/>
      <c r="AI5" s="657" t="s">
        <v>271</v>
      </c>
      <c r="AJ5" s="657" t="s">
        <v>272</v>
      </c>
      <c r="AK5" s="657" t="s">
        <v>275</v>
      </c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</row>
    <row r="6" spans="1:54" s="129" customFormat="1" ht="15" customHeight="1">
      <c r="B6" s="1145">
        <v>2086818</v>
      </c>
      <c r="C6" s="1145"/>
      <c r="D6" s="1145"/>
      <c r="E6" s="1145"/>
      <c r="F6" s="1145">
        <v>2123469</v>
      </c>
      <c r="G6" s="1145"/>
      <c r="H6" s="1145"/>
      <c r="I6" s="1145"/>
      <c r="J6" s="1146">
        <f>(F6-B6)</f>
        <v>36651</v>
      </c>
      <c r="K6" s="1146"/>
      <c r="L6" s="1146"/>
      <c r="M6" s="1146"/>
      <c r="N6" s="1120" t="s">
        <v>564</v>
      </c>
      <c r="O6" s="1120"/>
      <c r="P6" s="1120"/>
      <c r="Q6" s="1121">
        <v>16799030</v>
      </c>
      <c r="R6" s="1121"/>
      <c r="S6" s="1121"/>
      <c r="T6" s="1121"/>
      <c r="U6" s="1121">
        <v>16799700</v>
      </c>
      <c r="V6" s="1121"/>
      <c r="W6" s="1121"/>
      <c r="X6" s="1121"/>
      <c r="Y6" s="1120" t="s">
        <v>565</v>
      </c>
      <c r="Z6" s="1120"/>
      <c r="AA6" s="1120"/>
      <c r="AB6" s="1147">
        <f>J6</f>
        <v>36651</v>
      </c>
      <c r="AC6" s="1147"/>
      <c r="AD6" s="1147"/>
      <c r="AE6" s="1147"/>
      <c r="AG6" s="513"/>
      <c r="AH6" s="513"/>
      <c r="AI6" s="659">
        <v>3110</v>
      </c>
      <c r="AJ6" s="659">
        <v>3137</v>
      </c>
      <c r="AK6" s="659">
        <f>(AJ6-AI6)</f>
        <v>27</v>
      </c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</row>
    <row r="7" spans="1:54" s="129" customFormat="1" ht="15" customHeight="1">
      <c r="B7" s="1145"/>
      <c r="C7" s="1145"/>
      <c r="D7" s="1145"/>
      <c r="E7" s="1145"/>
      <c r="F7" s="1145"/>
      <c r="G7" s="1145"/>
      <c r="H7" s="1145"/>
      <c r="I7" s="1145"/>
      <c r="J7" s="1146"/>
      <c r="K7" s="1146"/>
      <c r="L7" s="1146"/>
      <c r="M7" s="1146"/>
      <c r="N7" s="1120" t="s">
        <v>566</v>
      </c>
      <c r="O7" s="1120"/>
      <c r="P7" s="1120"/>
      <c r="Q7" s="1121">
        <v>13609170</v>
      </c>
      <c r="R7" s="1121"/>
      <c r="S7" s="1121"/>
      <c r="T7" s="1121"/>
      <c r="U7" s="1121">
        <v>13608540</v>
      </c>
      <c r="V7" s="1121"/>
      <c r="W7" s="1121"/>
      <c r="X7" s="1122"/>
      <c r="Y7" s="1123" t="s">
        <v>734</v>
      </c>
      <c r="Z7" s="1124"/>
      <c r="AA7" s="1125"/>
      <c r="AB7" s="1126">
        <v>38580</v>
      </c>
      <c r="AC7" s="1121"/>
      <c r="AD7" s="1121"/>
      <c r="AE7" s="1121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</row>
    <row r="8" spans="1:54" s="129" customFormat="1" ht="16.2" customHeight="1">
      <c r="B8" s="1145"/>
      <c r="C8" s="1145"/>
      <c r="D8" s="1145"/>
      <c r="E8" s="1145"/>
      <c r="F8" s="1145"/>
      <c r="G8" s="1145"/>
      <c r="H8" s="1145"/>
      <c r="I8" s="1145"/>
      <c r="J8" s="1146"/>
      <c r="K8" s="1146"/>
      <c r="L8" s="1146"/>
      <c r="M8" s="1146"/>
      <c r="N8" s="1120" t="s">
        <v>567</v>
      </c>
      <c r="O8" s="1120"/>
      <c r="P8" s="1120"/>
      <c r="Q8" s="1121">
        <v>3925320</v>
      </c>
      <c r="R8" s="1121"/>
      <c r="S8" s="1121"/>
      <c r="T8" s="1121"/>
      <c r="U8" s="1121">
        <v>3925720</v>
      </c>
      <c r="V8" s="1121"/>
      <c r="W8" s="1121"/>
      <c r="X8" s="1121"/>
      <c r="Y8" s="1127" t="s">
        <v>738</v>
      </c>
      <c r="Z8" s="1127"/>
      <c r="AA8" s="1127"/>
      <c r="AB8" s="1121"/>
      <c r="AC8" s="1121"/>
      <c r="AD8" s="1121"/>
      <c r="AE8" s="1121"/>
      <c r="AG8" s="513"/>
      <c r="AH8" s="513"/>
      <c r="AI8" s="1216" t="s">
        <v>646</v>
      </c>
      <c r="AJ8" s="658" t="s">
        <v>647</v>
      </c>
      <c r="AK8" s="658" t="s">
        <v>648</v>
      </c>
      <c r="AL8" s="658" t="s">
        <v>649</v>
      </c>
      <c r="AM8" s="658" t="s">
        <v>650</v>
      </c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</row>
    <row r="9" spans="1:54" s="129" customFormat="1" ht="15" customHeight="1">
      <c r="B9" s="1145"/>
      <c r="C9" s="1145"/>
      <c r="D9" s="1145"/>
      <c r="E9" s="1145"/>
      <c r="F9" s="1145"/>
      <c r="G9" s="1145"/>
      <c r="H9" s="1145"/>
      <c r="I9" s="1145"/>
      <c r="J9" s="1146"/>
      <c r="K9" s="1146"/>
      <c r="L9" s="1146"/>
      <c r="M9" s="1146"/>
      <c r="N9" s="1120" t="s">
        <v>568</v>
      </c>
      <c r="O9" s="1120"/>
      <c r="P9" s="1120"/>
      <c r="Q9" s="1121">
        <v>-194710</v>
      </c>
      <c r="R9" s="1121"/>
      <c r="S9" s="1121"/>
      <c r="T9" s="1121"/>
      <c r="U9" s="1121">
        <f>Q9</f>
        <v>-194710</v>
      </c>
      <c r="V9" s="1121"/>
      <c r="W9" s="1121"/>
      <c r="X9" s="1121"/>
      <c r="Y9" s="1128" t="s">
        <v>732</v>
      </c>
      <c r="Z9" s="1129"/>
      <c r="AA9" s="1130"/>
      <c r="AB9" s="1219">
        <f>Q10-U10</f>
        <v>-440</v>
      </c>
      <c r="AC9" s="1219"/>
      <c r="AD9" s="1219"/>
      <c r="AE9" s="1219"/>
      <c r="AG9" s="513"/>
      <c r="AH9" s="513"/>
      <c r="AI9" s="1216"/>
      <c r="AJ9" s="658" t="s">
        <v>94</v>
      </c>
      <c r="AK9" s="515">
        <v>15910350</v>
      </c>
      <c r="AL9" s="516">
        <f>(Q6-AK9)/AK9</f>
        <v>5.585546515318645E-2</v>
      </c>
      <c r="AM9" s="517">
        <f>Q6-U6</f>
        <v>-670</v>
      </c>
      <c r="AN9" s="513"/>
      <c r="AO9" s="513"/>
      <c r="AP9" s="513" t="s">
        <v>651</v>
      </c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</row>
    <row r="10" spans="1:54" s="129" customFormat="1" ht="15" customHeight="1">
      <c r="B10" s="1145"/>
      <c r="C10" s="1145"/>
      <c r="D10" s="1145"/>
      <c r="E10" s="1145"/>
      <c r="F10" s="1145"/>
      <c r="G10" s="1145"/>
      <c r="H10" s="1145"/>
      <c r="I10" s="1145"/>
      <c r="J10" s="1146"/>
      <c r="K10" s="1146"/>
      <c r="L10" s="1146"/>
      <c r="M10" s="1146"/>
      <c r="N10" s="1120" t="s">
        <v>569</v>
      </c>
      <c r="O10" s="1120"/>
      <c r="P10" s="1120"/>
      <c r="Q10" s="1219">
        <f>SUM(Q6:Q9)</f>
        <v>34138810</v>
      </c>
      <c r="R10" s="1219"/>
      <c r="S10" s="1219"/>
      <c r="T10" s="1219"/>
      <c r="U10" s="1219">
        <f>SUM(U6:U9)</f>
        <v>34139250</v>
      </c>
      <c r="V10" s="1219"/>
      <c r="W10" s="1219"/>
      <c r="X10" s="1219"/>
      <c r="Y10" s="1131" t="s">
        <v>733</v>
      </c>
      <c r="Z10" s="1132"/>
      <c r="AA10" s="1133"/>
      <c r="AB10" s="1219"/>
      <c r="AC10" s="1219"/>
      <c r="AD10" s="1219"/>
      <c r="AE10" s="1219"/>
      <c r="AG10" s="513"/>
      <c r="AH10" s="513"/>
      <c r="AI10" s="1216"/>
      <c r="AJ10" s="658" t="s">
        <v>93</v>
      </c>
      <c r="AK10" s="515">
        <v>8914480</v>
      </c>
      <c r="AL10" s="518">
        <f>(Q7-AK10)/AK10</f>
        <v>0.52663643869300281</v>
      </c>
      <c r="AM10" s="517">
        <f>Q7-U7</f>
        <v>630</v>
      </c>
      <c r="AN10" s="513"/>
      <c r="AO10" s="513"/>
      <c r="AP10" s="513" t="s">
        <v>652</v>
      </c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</row>
    <row r="11" spans="1:54" ht="15" customHeight="1">
      <c r="AI11" s="1216"/>
      <c r="AJ11" s="655" t="s">
        <v>653</v>
      </c>
      <c r="AK11" s="519">
        <v>3554630</v>
      </c>
      <c r="AL11" s="520">
        <f>(Q8-AK11)/AK11</f>
        <v>0.10428370885296079</v>
      </c>
      <c r="AM11" s="517">
        <f>Q8-U8</f>
        <v>-400</v>
      </c>
      <c r="AP11" s="509" t="s">
        <v>654</v>
      </c>
    </row>
    <row r="12" spans="1:54" ht="15" customHeight="1">
      <c r="A12" s="131"/>
      <c r="B12" s="132" t="s">
        <v>643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217">
        <f>AA17</f>
        <v>31008350</v>
      </c>
      <c r="X12" s="1217"/>
      <c r="Y12" s="1217"/>
      <c r="Z12" s="1217"/>
      <c r="AA12" s="1217"/>
      <c r="AB12" s="1217"/>
      <c r="AC12" s="131"/>
      <c r="AD12" s="131"/>
      <c r="AE12" s="131"/>
      <c r="AG12" s="521"/>
      <c r="AH12" s="521"/>
      <c r="AI12" s="1216"/>
      <c r="AJ12" s="655" t="s">
        <v>655</v>
      </c>
      <c r="AK12" s="522">
        <f>SUM(AK9:AK11)</f>
        <v>28379460</v>
      </c>
      <c r="AM12" s="523">
        <f>SUM(AM9:AM11)</f>
        <v>-440</v>
      </c>
      <c r="AV12" s="524"/>
    </row>
    <row r="13" spans="1:54" ht="15" customHeight="1">
      <c r="A13" s="133"/>
      <c r="B13" s="133" t="s">
        <v>570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P13" s="509" t="s">
        <v>656</v>
      </c>
    </row>
    <row r="14" spans="1:54" ht="15" customHeight="1" thickBot="1">
      <c r="A14" s="133"/>
      <c r="B14" s="133" t="s">
        <v>571</v>
      </c>
      <c r="C14" s="133"/>
      <c r="D14" s="133"/>
      <c r="E14" s="133"/>
      <c r="F14" s="133"/>
      <c r="G14" s="133"/>
      <c r="H14" s="133"/>
      <c r="I14" s="133">
        <v>8</v>
      </c>
      <c r="J14" s="133" t="s">
        <v>553</v>
      </c>
      <c r="K14" s="133"/>
      <c r="L14" s="133">
        <v>15</v>
      </c>
      <c r="M14" s="133" t="s">
        <v>554</v>
      </c>
      <c r="N14" s="133"/>
      <c r="O14" s="133" t="s">
        <v>555</v>
      </c>
      <c r="P14" s="133"/>
      <c r="Q14" s="133" t="s">
        <v>556</v>
      </c>
      <c r="R14" s="133"/>
      <c r="S14" s="133"/>
      <c r="T14" s="133">
        <v>9</v>
      </c>
      <c r="U14" s="133" t="s">
        <v>553</v>
      </c>
      <c r="V14" s="133"/>
      <c r="W14" s="133">
        <v>14</v>
      </c>
      <c r="X14" s="133" t="s">
        <v>731</v>
      </c>
      <c r="Y14" s="133"/>
      <c r="Z14" s="133"/>
      <c r="AA14" s="133"/>
      <c r="AB14" s="133"/>
      <c r="AC14" s="133"/>
      <c r="AD14" s="133"/>
      <c r="AE14" s="133"/>
    </row>
    <row r="15" spans="1:54" ht="15" customHeight="1" thickBot="1">
      <c r="A15" s="134"/>
      <c r="B15" s="1157" t="s">
        <v>572</v>
      </c>
      <c r="C15" s="1143"/>
      <c r="D15" s="1143"/>
      <c r="E15" s="1143"/>
      <c r="F15" s="1158"/>
      <c r="G15" s="1159" t="s">
        <v>573</v>
      </c>
      <c r="H15" s="1160"/>
      <c r="I15" s="1160"/>
      <c r="J15" s="1161"/>
      <c r="K15" s="1142" t="s">
        <v>574</v>
      </c>
      <c r="L15" s="1143"/>
      <c r="M15" s="1143"/>
      <c r="N15" s="1158"/>
      <c r="O15" s="1159" t="s">
        <v>575</v>
      </c>
      <c r="P15" s="1160"/>
      <c r="Q15" s="1160"/>
      <c r="R15" s="1161"/>
      <c r="S15" s="1142" t="s">
        <v>576</v>
      </c>
      <c r="T15" s="1143"/>
      <c r="U15" s="1143"/>
      <c r="V15" s="1158"/>
      <c r="W15" s="1142"/>
      <c r="X15" s="1143"/>
      <c r="Y15" s="1143"/>
      <c r="Z15" s="1158"/>
      <c r="AA15" s="1142" t="s">
        <v>569</v>
      </c>
      <c r="AB15" s="1143"/>
      <c r="AC15" s="1143"/>
      <c r="AD15" s="1143"/>
      <c r="AE15" s="1144"/>
      <c r="AI15" s="1220" t="s">
        <v>657</v>
      </c>
      <c r="AJ15" s="1220"/>
      <c r="AK15" s="1220" t="s">
        <v>658</v>
      </c>
      <c r="AL15" s="1220"/>
      <c r="AM15" s="656" t="s">
        <v>659</v>
      </c>
      <c r="AP15" s="525" t="s">
        <v>660</v>
      </c>
      <c r="AQ15" s="525" t="s">
        <v>271</v>
      </c>
      <c r="AR15" s="659" t="s">
        <v>661</v>
      </c>
      <c r="AS15" s="1117" t="s">
        <v>632</v>
      </c>
      <c r="AT15" s="1117"/>
      <c r="AU15" s="1117"/>
      <c r="AV15" s="525" t="s">
        <v>662</v>
      </c>
    </row>
    <row r="16" spans="1:54" ht="15" customHeight="1" thickTop="1">
      <c r="A16" s="133"/>
      <c r="B16" s="1166" t="s">
        <v>577</v>
      </c>
      <c r="C16" s="1167"/>
      <c r="D16" s="1167"/>
      <c r="E16" s="1167"/>
      <c r="F16" s="1167"/>
      <c r="G16" s="1168">
        <f>[1]산출내역!$G$16:$J$16</f>
        <v>533575</v>
      </c>
      <c r="H16" s="1168"/>
      <c r="I16" s="1168"/>
      <c r="J16" s="1168"/>
      <c r="K16" s="1168">
        <f>[1]산출내역!$K$16:$N$16</f>
        <v>1404</v>
      </c>
      <c r="L16" s="1168"/>
      <c r="M16" s="1168"/>
      <c r="N16" s="1168"/>
      <c r="O16" s="1168">
        <f>[1]산출내역!$O$16:$R$16</f>
        <v>15322</v>
      </c>
      <c r="P16" s="1168"/>
      <c r="Q16" s="1168"/>
      <c r="R16" s="1168"/>
      <c r="S16" s="1168">
        <f>[1]산출내역!$S$16:$V$16</f>
        <v>1699</v>
      </c>
      <c r="T16" s="1168"/>
      <c r="U16" s="1168"/>
      <c r="V16" s="1168"/>
      <c r="W16" s="1168"/>
      <c r="X16" s="1168"/>
      <c r="Y16" s="1168"/>
      <c r="Z16" s="1168"/>
      <c r="AA16" s="1168">
        <f>SUM(G16,O16:Z16)</f>
        <v>550596</v>
      </c>
      <c r="AB16" s="1168"/>
      <c r="AC16" s="1168"/>
      <c r="AD16" s="1168"/>
      <c r="AE16" s="1218"/>
      <c r="AI16" s="655" t="s">
        <v>663</v>
      </c>
      <c r="AJ16" s="519">
        <v>108954490</v>
      </c>
      <c r="AK16" s="655" t="s">
        <v>664</v>
      </c>
      <c r="AL16" s="519">
        <v>624888</v>
      </c>
      <c r="AM16" s="526">
        <f>G16-AL16</f>
        <v>-91313</v>
      </c>
      <c r="AP16" s="527" t="s">
        <v>665</v>
      </c>
      <c r="AQ16" s="528">
        <v>28455</v>
      </c>
      <c r="AR16" s="528">
        <v>28982</v>
      </c>
      <c r="AS16" s="529">
        <f>AR16-AQ16</f>
        <v>527</v>
      </c>
      <c r="AT16" s="529"/>
      <c r="AU16" s="529"/>
      <c r="AV16" s="1118">
        <f>ROUND(AS21*220,0)</f>
        <v>291500</v>
      </c>
    </row>
    <row r="17" spans="1:48" ht="15" customHeight="1" thickBot="1">
      <c r="A17" s="133"/>
      <c r="B17" s="1169" t="s">
        <v>578</v>
      </c>
      <c r="C17" s="1170"/>
      <c r="D17" s="1170"/>
      <c r="E17" s="1170"/>
      <c r="F17" s="1170"/>
      <c r="G17" s="1140">
        <f>[1]산출내역!$G$17:$J$17</f>
        <v>25024400</v>
      </c>
      <c r="H17" s="1140"/>
      <c r="I17" s="1140"/>
      <c r="J17" s="1140"/>
      <c r="K17" s="1140">
        <f>[1]산출내역!$K$17:$N$17</f>
        <v>3510000</v>
      </c>
      <c r="L17" s="1140"/>
      <c r="M17" s="1140"/>
      <c r="N17" s="1140"/>
      <c r="O17" s="1140">
        <f>[1]산출내역!$O$17:$R$17</f>
        <v>2216190</v>
      </c>
      <c r="P17" s="1140"/>
      <c r="Q17" s="1140"/>
      <c r="R17" s="1140"/>
      <c r="S17" s="1140">
        <f>[1]산출내역!$S$17:$V$17</f>
        <v>257760</v>
      </c>
      <c r="T17" s="1140"/>
      <c r="U17" s="1140"/>
      <c r="V17" s="1140"/>
      <c r="W17" s="1171"/>
      <c r="X17" s="1171"/>
      <c r="Y17" s="1171"/>
      <c r="Z17" s="1171"/>
      <c r="AA17" s="1140">
        <f>SUM(G17:Z17)</f>
        <v>31008350</v>
      </c>
      <c r="AB17" s="1140"/>
      <c r="AC17" s="1140"/>
      <c r="AD17" s="1140"/>
      <c r="AE17" s="1141"/>
      <c r="AI17" s="655" t="s">
        <v>142</v>
      </c>
      <c r="AJ17" s="519">
        <f>(AJ18)*2500</f>
        <v>3527500</v>
      </c>
      <c r="AK17" s="655" t="s">
        <v>666</v>
      </c>
      <c r="AL17" s="519">
        <v>15613</v>
      </c>
      <c r="AM17" s="530">
        <f>O16-AL17</f>
        <v>-291</v>
      </c>
      <c r="AP17" s="527"/>
      <c r="AQ17" s="528">
        <v>49384</v>
      </c>
      <c r="AR17" s="528">
        <v>49384</v>
      </c>
      <c r="AS17" s="529">
        <f>AR17-AQ17</f>
        <v>0</v>
      </c>
      <c r="AT17" s="529"/>
      <c r="AU17" s="529"/>
      <c r="AV17" s="1118"/>
    </row>
    <row r="18" spans="1:48" ht="1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I18" s="655" t="s">
        <v>667</v>
      </c>
      <c r="AJ18" s="519">
        <f>[2]한전보고!C39</f>
        <v>1411</v>
      </c>
      <c r="AK18" s="655" t="s">
        <v>668</v>
      </c>
      <c r="AL18" s="519">
        <v>1655</v>
      </c>
      <c r="AM18" s="531">
        <f>S16-AL18</f>
        <v>44</v>
      </c>
      <c r="AP18" s="527"/>
      <c r="AQ18" s="659">
        <v>571</v>
      </c>
      <c r="AR18" s="659">
        <v>613</v>
      </c>
      <c r="AS18" s="529">
        <f>AR18-AQ18</f>
        <v>42</v>
      </c>
      <c r="AT18" s="529"/>
      <c r="AU18" s="529"/>
      <c r="AV18" s="1118"/>
    </row>
    <row r="19" spans="1:48" ht="15" customHeight="1" thickBot="1">
      <c r="A19" s="133"/>
      <c r="B19" s="133" t="s">
        <v>579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I19" s="655" t="s">
        <v>669</v>
      </c>
      <c r="AJ19" s="532">
        <f>AJ16-AJ17</f>
        <v>105426990</v>
      </c>
      <c r="AK19" s="655" t="s">
        <v>192</v>
      </c>
      <c r="AL19" s="522">
        <f>SUM(AL16:AL18)</f>
        <v>642156</v>
      </c>
      <c r="AP19" s="527"/>
      <c r="AQ19" s="659">
        <v>5210</v>
      </c>
      <c r="AR19" s="659">
        <v>5252</v>
      </c>
      <c r="AS19" s="529">
        <f>AR19-AQ19</f>
        <v>42</v>
      </c>
      <c r="AT19" s="529"/>
      <c r="AU19" s="533" t="s">
        <v>670</v>
      </c>
      <c r="AV19" s="1118"/>
    </row>
    <row r="20" spans="1:48" ht="15" customHeight="1" thickBot="1">
      <c r="A20" s="134"/>
      <c r="B20" s="1157" t="s">
        <v>581</v>
      </c>
      <c r="C20" s="1143"/>
      <c r="D20" s="1143"/>
      <c r="E20" s="1143"/>
      <c r="F20" s="1143"/>
      <c r="G20" s="1158"/>
      <c r="H20" s="1159" t="s">
        <v>582</v>
      </c>
      <c r="I20" s="1160"/>
      <c r="J20" s="1160"/>
      <c r="K20" s="1160"/>
      <c r="L20" s="1161"/>
      <c r="M20" s="1142" t="s">
        <v>583</v>
      </c>
      <c r="N20" s="1143"/>
      <c r="O20" s="1143"/>
      <c r="P20" s="1143"/>
      <c r="Q20" s="1158"/>
      <c r="R20" s="1142" t="s">
        <v>584</v>
      </c>
      <c r="S20" s="1143"/>
      <c r="T20" s="1143"/>
      <c r="U20" s="1143"/>
      <c r="V20" s="1143"/>
      <c r="W20" s="1143"/>
      <c r="X20" s="1143"/>
      <c r="Y20" s="1143"/>
      <c r="Z20" s="1143"/>
      <c r="AA20" s="1143"/>
      <c r="AB20" s="1143"/>
      <c r="AC20" s="1143"/>
      <c r="AD20" s="1143"/>
      <c r="AE20" s="1144"/>
      <c r="AI20" s="655" t="s">
        <v>671</v>
      </c>
      <c r="AJ20" s="519">
        <v>2269400</v>
      </c>
      <c r="AM20" s="522"/>
      <c r="AP20" s="527"/>
      <c r="AQ20" s="659">
        <v>1108</v>
      </c>
      <c r="AR20" s="659">
        <v>1108</v>
      </c>
      <c r="AS20" s="529">
        <v>0</v>
      </c>
      <c r="AT20" s="529"/>
      <c r="AU20" s="533" t="s">
        <v>672</v>
      </c>
      <c r="AV20" s="1118"/>
    </row>
    <row r="21" spans="1:48" ht="15" customHeight="1" thickTop="1">
      <c r="A21" s="133"/>
      <c r="B21" s="1201" t="s">
        <v>585</v>
      </c>
      <c r="C21" s="1202"/>
      <c r="D21" s="1202"/>
      <c r="E21" s="1202"/>
      <c r="F21" s="1202"/>
      <c r="G21" s="1203"/>
      <c r="H21" s="1151">
        <v>442090</v>
      </c>
      <c r="I21" s="1152"/>
      <c r="J21" s="1152"/>
      <c r="K21" s="1152"/>
      <c r="L21" s="1153"/>
      <c r="M21" s="1151">
        <v>27656590</v>
      </c>
      <c r="N21" s="1152"/>
      <c r="O21" s="1152"/>
      <c r="P21" s="1152"/>
      <c r="Q21" s="1153"/>
      <c r="R21" s="1154" t="s">
        <v>586</v>
      </c>
      <c r="S21" s="1155"/>
      <c r="T21" s="1155"/>
      <c r="U21" s="1155"/>
      <c r="V21" s="1155"/>
      <c r="W21" s="1155"/>
      <c r="X21" s="1155"/>
      <c r="Y21" s="1155"/>
      <c r="Z21" s="1155"/>
      <c r="AA21" s="1155"/>
      <c r="AB21" s="1155"/>
      <c r="AC21" s="1155"/>
      <c r="AD21" s="1155"/>
      <c r="AE21" s="1156"/>
      <c r="AI21" s="655" t="s">
        <v>673</v>
      </c>
      <c r="AJ21" s="519">
        <v>253460</v>
      </c>
      <c r="AK21" s="534">
        <f>AJ20+AJ21</f>
        <v>2522860</v>
      </c>
      <c r="AL21" s="535"/>
      <c r="AM21" s="535"/>
      <c r="AP21" s="527"/>
      <c r="AQ21" s="659" t="s">
        <v>674</v>
      </c>
      <c r="AR21" s="659"/>
      <c r="AS21" s="1237">
        <f>AS16+AS17+AS18+(AS19*18)+(AS20*47)</f>
        <v>1325</v>
      </c>
      <c r="AT21" s="1237"/>
      <c r="AU21" s="1237"/>
      <c r="AV21" s="1118"/>
    </row>
    <row r="22" spans="1:48" ht="15" customHeight="1">
      <c r="A22" s="133"/>
      <c r="B22" s="1236" t="s">
        <v>587</v>
      </c>
      <c r="C22" s="1164"/>
      <c r="D22" s="1164"/>
      <c r="E22" s="1164"/>
      <c r="F22" s="1164"/>
      <c r="G22" s="1165"/>
      <c r="H22" s="1134">
        <v>1404</v>
      </c>
      <c r="I22" s="1135"/>
      <c r="J22" s="1135"/>
      <c r="K22" s="1135"/>
      <c r="L22" s="1136"/>
      <c r="M22" s="1134">
        <v>3510000</v>
      </c>
      <c r="N22" s="1135"/>
      <c r="O22" s="1135"/>
      <c r="P22" s="1135"/>
      <c r="Q22" s="1136"/>
      <c r="R22" s="1148" t="s">
        <v>588</v>
      </c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50"/>
      <c r="AI22" s="655"/>
      <c r="AJ22" s="519"/>
      <c r="AL22" s="535"/>
      <c r="AM22" s="536"/>
      <c r="AP22" s="537" t="s">
        <v>675</v>
      </c>
      <c r="AQ22" s="659">
        <v>48992</v>
      </c>
      <c r="AR22" s="659">
        <v>49277</v>
      </c>
      <c r="AS22" s="529">
        <f>AR22-AQ22</f>
        <v>285</v>
      </c>
      <c r="AT22" s="529"/>
      <c r="AU22" s="529"/>
      <c r="AV22" s="1118">
        <f>ROUND(AS26*220,0)</f>
        <v>202400</v>
      </c>
    </row>
    <row r="23" spans="1:48" ht="15" customHeight="1">
      <c r="A23" s="133"/>
      <c r="B23" s="1239" t="s">
        <v>589</v>
      </c>
      <c r="C23" s="1163" t="s">
        <v>590</v>
      </c>
      <c r="D23" s="1164"/>
      <c r="E23" s="1164"/>
      <c r="F23" s="1164"/>
      <c r="G23" s="1165"/>
      <c r="H23" s="1224">
        <v>66793</v>
      </c>
      <c r="I23" s="1225"/>
      <c r="J23" s="1225"/>
      <c r="K23" s="1225"/>
      <c r="L23" s="1226"/>
      <c r="M23" s="1227">
        <v>-5289950</v>
      </c>
      <c r="N23" s="1228"/>
      <c r="O23" s="1228"/>
      <c r="P23" s="1228"/>
      <c r="Q23" s="1229"/>
      <c r="R23" s="1230" t="s">
        <v>735</v>
      </c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2"/>
      <c r="AK23" s="534"/>
      <c r="AL23" s="535">
        <f>52616420-52556420</f>
        <v>60000</v>
      </c>
      <c r="AM23" s="536"/>
      <c r="AP23" s="537"/>
      <c r="AQ23" s="659">
        <v>7318</v>
      </c>
      <c r="AR23" s="659">
        <v>7318</v>
      </c>
      <c r="AS23" s="529">
        <f>AR23-AQ23</f>
        <v>0</v>
      </c>
      <c r="AT23" s="529"/>
      <c r="AU23" s="529"/>
      <c r="AV23" s="1118"/>
    </row>
    <row r="24" spans="1:48" ht="15" customHeight="1">
      <c r="A24" s="133"/>
      <c r="B24" s="1240"/>
      <c r="C24" s="1163" t="s">
        <v>575</v>
      </c>
      <c r="D24" s="1164"/>
      <c r="E24" s="1164"/>
      <c r="F24" s="1164"/>
      <c r="G24" s="1165"/>
      <c r="H24" s="1134">
        <v>15322</v>
      </c>
      <c r="I24" s="1135"/>
      <c r="J24" s="1135"/>
      <c r="K24" s="1135"/>
      <c r="L24" s="1136"/>
      <c r="M24" s="1134">
        <v>2216190</v>
      </c>
      <c r="N24" s="1135"/>
      <c r="O24" s="1135"/>
      <c r="P24" s="1135"/>
      <c r="Q24" s="1136"/>
      <c r="R24" s="1137" t="s">
        <v>591</v>
      </c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9"/>
      <c r="AI24" s="509" t="s">
        <v>676</v>
      </c>
      <c r="AJ24" s="519">
        <f>[2]한전보고!H27</f>
        <v>502691</v>
      </c>
      <c r="AM24" s="522"/>
      <c r="AP24" s="537"/>
      <c r="AQ24" s="659">
        <v>13623</v>
      </c>
      <c r="AR24" s="659">
        <v>13730</v>
      </c>
      <c r="AS24" s="529">
        <f>AR24-AQ24</f>
        <v>107</v>
      </c>
      <c r="AT24" s="529"/>
      <c r="AU24" s="529"/>
      <c r="AV24" s="1118"/>
    </row>
    <row r="25" spans="1:48" ht="15" customHeight="1">
      <c r="A25" s="133"/>
      <c r="B25" s="1240"/>
      <c r="C25" s="1163" t="s">
        <v>576</v>
      </c>
      <c r="D25" s="1164"/>
      <c r="E25" s="1164"/>
      <c r="F25" s="1164"/>
      <c r="G25" s="1165"/>
      <c r="H25" s="1134">
        <v>1699</v>
      </c>
      <c r="I25" s="1135"/>
      <c r="J25" s="1135"/>
      <c r="K25" s="1135"/>
      <c r="L25" s="1136"/>
      <c r="M25" s="1134">
        <v>257760</v>
      </c>
      <c r="N25" s="1135"/>
      <c r="O25" s="1135"/>
      <c r="P25" s="1135"/>
      <c r="Q25" s="1136"/>
      <c r="R25" s="1137" t="s">
        <v>592</v>
      </c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9"/>
      <c r="AI25" s="509" t="s">
        <v>677</v>
      </c>
      <c r="AJ25" s="519">
        <v>81771660</v>
      </c>
      <c r="AK25" s="534"/>
      <c r="AL25" s="532">
        <f>1970/1507</f>
        <v>1.307232913072329</v>
      </c>
      <c r="AM25" s="536"/>
      <c r="AP25" s="537"/>
      <c r="AQ25" s="659">
        <v>3054</v>
      </c>
      <c r="AR25" s="659">
        <v>3066</v>
      </c>
      <c r="AS25" s="538">
        <f>AR25-AQ25</f>
        <v>12</v>
      </c>
      <c r="AT25" s="538"/>
      <c r="AU25" s="533" t="s">
        <v>678</v>
      </c>
      <c r="AV25" s="1118"/>
    </row>
    <row r="26" spans="1:48" ht="15" customHeight="1">
      <c r="A26" s="133"/>
      <c r="B26" s="1248"/>
      <c r="C26" s="1249" t="s">
        <v>593</v>
      </c>
      <c r="D26" s="1246"/>
      <c r="E26" s="1246"/>
      <c r="F26" s="1246"/>
      <c r="G26" s="1247"/>
      <c r="H26" s="1233">
        <f>SUM(H23:H25)</f>
        <v>83814</v>
      </c>
      <c r="I26" s="1234"/>
      <c r="J26" s="1234"/>
      <c r="K26" s="1234"/>
      <c r="L26" s="1235"/>
      <c r="M26" s="1221">
        <f>SUM(M23:M25)</f>
        <v>-2816000</v>
      </c>
      <c r="N26" s="1222"/>
      <c r="O26" s="1222"/>
      <c r="P26" s="1222"/>
      <c r="Q26" s="1223"/>
      <c r="R26" s="1233"/>
      <c r="S26" s="1234"/>
      <c r="T26" s="1234"/>
      <c r="U26" s="1234"/>
      <c r="V26" s="1234"/>
      <c r="W26" s="1234"/>
      <c r="X26" s="1234"/>
      <c r="Y26" s="1234"/>
      <c r="Z26" s="1234"/>
      <c r="AA26" s="1234"/>
      <c r="AB26" s="1234"/>
      <c r="AC26" s="1234"/>
      <c r="AD26" s="1234"/>
      <c r="AE26" s="1251"/>
      <c r="AL26" s="535"/>
      <c r="AM26" s="535"/>
      <c r="AP26" s="537"/>
      <c r="AQ26" s="659" t="s">
        <v>674</v>
      </c>
      <c r="AR26" s="659"/>
      <c r="AS26" s="1237">
        <f>AS22+AS23+AS24+AS25*44</f>
        <v>920</v>
      </c>
      <c r="AT26" s="1237"/>
      <c r="AU26" s="1237"/>
      <c r="AV26" s="1118"/>
    </row>
    <row r="27" spans="1:48" ht="15" customHeight="1">
      <c r="A27" s="133"/>
      <c r="B27" s="1245" t="s">
        <v>594</v>
      </c>
      <c r="C27" s="1246"/>
      <c r="D27" s="1246"/>
      <c r="E27" s="1246"/>
      <c r="F27" s="1246"/>
      <c r="G27" s="1247"/>
      <c r="H27" s="1233">
        <v>20099</v>
      </c>
      <c r="I27" s="1234"/>
      <c r="J27" s="1234"/>
      <c r="K27" s="1234"/>
      <c r="L27" s="1235"/>
      <c r="M27" s="1233">
        <v>2814620</v>
      </c>
      <c r="N27" s="1234"/>
      <c r="O27" s="1234"/>
      <c r="P27" s="1234"/>
      <c r="Q27" s="1235"/>
      <c r="R27" s="273" t="s">
        <v>595</v>
      </c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5"/>
      <c r="AI27" s="655" t="s">
        <v>679</v>
      </c>
      <c r="AJ27" s="539">
        <f>ROUNDDOWN(AJ16*0.009,-1)</f>
        <v>980590</v>
      </c>
      <c r="AL27" s="540"/>
      <c r="AM27" s="522"/>
      <c r="AP27" s="541" t="s">
        <v>680</v>
      </c>
      <c r="AQ27" s="528">
        <v>33384</v>
      </c>
      <c r="AR27" s="528">
        <v>33981</v>
      </c>
      <c r="AS27" s="1237">
        <f>AR27-AQ27</f>
        <v>597</v>
      </c>
      <c r="AT27" s="1237"/>
      <c r="AU27" s="1237"/>
      <c r="AV27" s="542">
        <f>ROUND(AS27*AR38,-1)</f>
        <v>131340</v>
      </c>
    </row>
    <row r="28" spans="1:48" ht="15" customHeight="1">
      <c r="A28" s="133"/>
      <c r="B28" s="1239" t="s">
        <v>596</v>
      </c>
      <c r="C28" s="1163" t="s">
        <v>597</v>
      </c>
      <c r="D28" s="1164"/>
      <c r="E28" s="1164"/>
      <c r="F28" s="1164"/>
      <c r="G28" s="1165"/>
      <c r="H28" s="1134">
        <v>1287</v>
      </c>
      <c r="I28" s="1135"/>
      <c r="J28" s="1135"/>
      <c r="K28" s="1135"/>
      <c r="L28" s="1136"/>
      <c r="M28" s="1134">
        <v>283140</v>
      </c>
      <c r="N28" s="1135"/>
      <c r="O28" s="1135"/>
      <c r="P28" s="1135"/>
      <c r="Q28" s="1136"/>
      <c r="R28" s="1137" t="s">
        <v>598</v>
      </c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5"/>
      <c r="AL28" s="655" t="s">
        <v>681</v>
      </c>
      <c r="AP28" s="527" t="s">
        <v>682</v>
      </c>
      <c r="AQ28" s="528">
        <v>5535</v>
      </c>
      <c r="AR28" s="528">
        <v>6225</v>
      </c>
      <c r="AS28" s="1237">
        <f>AR28-AQ28</f>
        <v>690</v>
      </c>
      <c r="AT28" s="1237"/>
      <c r="AU28" s="1237"/>
      <c r="AV28" s="542">
        <f>ROUND(AS28*AR38,-1)</f>
        <v>151800</v>
      </c>
    </row>
    <row r="29" spans="1:48" ht="15" customHeight="1">
      <c r="A29" s="133"/>
      <c r="B29" s="1240"/>
      <c r="C29" s="1163" t="s">
        <v>599</v>
      </c>
      <c r="D29" s="1164"/>
      <c r="E29" s="1164"/>
      <c r="F29" s="1164"/>
      <c r="G29" s="1165"/>
      <c r="H29" s="1134">
        <v>982</v>
      </c>
      <c r="I29" s="1135"/>
      <c r="J29" s="1135"/>
      <c r="K29" s="1135"/>
      <c r="L29" s="1136"/>
      <c r="M29" s="1134">
        <v>216040</v>
      </c>
      <c r="N29" s="1135"/>
      <c r="O29" s="1135"/>
      <c r="P29" s="1135"/>
      <c r="Q29" s="1136"/>
      <c r="R29" s="1137" t="s">
        <v>600</v>
      </c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9"/>
      <c r="AI29" s="509" t="s">
        <v>410</v>
      </c>
      <c r="AK29" s="534">
        <f>AJ16+AJ20+AJ21</f>
        <v>111477350</v>
      </c>
      <c r="AL29" s="522">
        <f>AK29-M38</f>
        <v>79301680</v>
      </c>
      <c r="AM29" s="522"/>
      <c r="AP29" s="527" t="s">
        <v>683</v>
      </c>
      <c r="AQ29" s="543" t="s">
        <v>411</v>
      </c>
      <c r="AR29" s="525"/>
      <c r="AS29" s="544" t="s">
        <v>684</v>
      </c>
      <c r="AT29" s="538"/>
      <c r="AU29" s="538"/>
      <c r="AV29" s="545" t="s">
        <v>684</v>
      </c>
    </row>
    <row r="30" spans="1:48" ht="15" customHeight="1">
      <c r="A30" s="133"/>
      <c r="B30" s="1240"/>
      <c r="C30" s="1163" t="s">
        <v>601</v>
      </c>
      <c r="D30" s="1164"/>
      <c r="E30" s="1164"/>
      <c r="F30" s="1164"/>
      <c r="G30" s="1165"/>
      <c r="H30" s="1134">
        <v>582</v>
      </c>
      <c r="I30" s="1135"/>
      <c r="J30" s="1135"/>
      <c r="K30" s="1135"/>
      <c r="L30" s="1136"/>
      <c r="M30" s="1134">
        <v>128040</v>
      </c>
      <c r="N30" s="1135"/>
      <c r="O30" s="1135"/>
      <c r="P30" s="1135"/>
      <c r="Q30" s="1136"/>
      <c r="R30" s="1137" t="s">
        <v>600</v>
      </c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9"/>
      <c r="AI30" s="509" t="s">
        <v>685</v>
      </c>
      <c r="AK30" s="654">
        <f>AL16+AL17+AL18</f>
        <v>642156</v>
      </c>
      <c r="AL30" s="522">
        <f>AK30-H38</f>
        <v>91560</v>
      </c>
      <c r="AP30" s="527" t="s">
        <v>686</v>
      </c>
      <c r="AQ30" s="546">
        <v>51036</v>
      </c>
      <c r="AR30" s="546">
        <v>51036</v>
      </c>
      <c r="AS30" s="529">
        <f>AR30-AQ30</f>
        <v>0</v>
      </c>
      <c r="AT30" s="529"/>
      <c r="AU30" s="529"/>
      <c r="AV30" s="1119">
        <f>ROUND(AS32*AR38,-1)</f>
        <v>0</v>
      </c>
    </row>
    <row r="31" spans="1:48" ht="15" customHeight="1">
      <c r="A31" s="133"/>
      <c r="B31" s="1240"/>
      <c r="C31" s="1163" t="s">
        <v>602</v>
      </c>
      <c r="D31" s="1164"/>
      <c r="E31" s="1164"/>
      <c r="F31" s="1164"/>
      <c r="G31" s="1165"/>
      <c r="H31" s="1134">
        <v>697</v>
      </c>
      <c r="I31" s="1135"/>
      <c r="J31" s="1135"/>
      <c r="K31" s="1135"/>
      <c r="L31" s="1136"/>
      <c r="M31" s="1134">
        <v>153340</v>
      </c>
      <c r="N31" s="1135"/>
      <c r="O31" s="1135"/>
      <c r="P31" s="1135"/>
      <c r="Q31" s="1136"/>
      <c r="R31" s="1137" t="s">
        <v>603</v>
      </c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9"/>
      <c r="AJ31" s="522"/>
      <c r="AK31" s="524"/>
      <c r="AL31" s="519"/>
      <c r="AP31" s="527"/>
      <c r="AQ31" s="546">
        <v>3167</v>
      </c>
      <c r="AR31" s="546">
        <v>3167</v>
      </c>
      <c r="AS31" s="529">
        <f>AR31-AQ31</f>
        <v>0</v>
      </c>
      <c r="AT31" s="529"/>
      <c r="AU31" s="529"/>
      <c r="AV31" s="1119"/>
    </row>
    <row r="32" spans="1:48" ht="15" customHeight="1">
      <c r="A32" s="133"/>
      <c r="B32" s="1240"/>
      <c r="C32" s="1163" t="s">
        <v>604</v>
      </c>
      <c r="D32" s="1164"/>
      <c r="E32" s="1164"/>
      <c r="F32" s="1164"/>
      <c r="G32" s="1165"/>
      <c r="H32" s="1134">
        <f>AS32</f>
        <v>0</v>
      </c>
      <c r="I32" s="1135"/>
      <c r="J32" s="1135"/>
      <c r="K32" s="1135"/>
      <c r="L32" s="1136"/>
      <c r="M32" s="1134">
        <v>0</v>
      </c>
      <c r="N32" s="1135"/>
      <c r="O32" s="1135"/>
      <c r="P32" s="1135"/>
      <c r="Q32" s="1136"/>
      <c r="R32" s="1137" t="s">
        <v>605</v>
      </c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9"/>
      <c r="AK32" s="547"/>
      <c r="AL32" s="655"/>
      <c r="AM32" s="522"/>
      <c r="AP32" s="527"/>
      <c r="AQ32" s="659" t="s">
        <v>674</v>
      </c>
      <c r="AR32" s="659"/>
      <c r="AS32" s="1119">
        <f>SUM(AS30:AS31)</f>
        <v>0</v>
      </c>
      <c r="AT32" s="1119"/>
      <c r="AU32" s="1119"/>
      <c r="AV32" s="1119"/>
    </row>
    <row r="33" spans="1:48" ht="15" customHeight="1">
      <c r="A33" s="133"/>
      <c r="B33" s="1240"/>
      <c r="C33" s="1163" t="s">
        <v>606</v>
      </c>
      <c r="D33" s="1164"/>
      <c r="E33" s="1164"/>
      <c r="F33" s="1164"/>
      <c r="G33" s="1165"/>
      <c r="H33" s="1134">
        <v>473</v>
      </c>
      <c r="I33" s="1135"/>
      <c r="J33" s="1135"/>
      <c r="K33" s="1135"/>
      <c r="L33" s="1136"/>
      <c r="M33" s="1134">
        <v>104060</v>
      </c>
      <c r="N33" s="1135"/>
      <c r="O33" s="1135"/>
      <c r="P33" s="1135"/>
      <c r="Q33" s="1136"/>
      <c r="R33" s="1137" t="s">
        <v>607</v>
      </c>
      <c r="S33" s="1138"/>
      <c r="T33" s="1138"/>
      <c r="U33" s="1138"/>
      <c r="V33" s="1138"/>
      <c r="W33" s="1138"/>
      <c r="X33" s="1138"/>
      <c r="Y33" s="1138"/>
      <c r="Z33" s="1138"/>
      <c r="AA33" s="1138"/>
      <c r="AB33" s="1138"/>
      <c r="AC33" s="1138"/>
      <c r="AD33" s="1138"/>
      <c r="AE33" s="1139"/>
      <c r="AI33" s="522" t="s">
        <v>687</v>
      </c>
      <c r="AJ33" s="522">
        <f>-3738210-300000-1382490-1746490</f>
        <v>-7167190</v>
      </c>
      <c r="AK33" s="534"/>
      <c r="AL33" s="548">
        <f>M26-610520</f>
        <v>-3426520</v>
      </c>
      <c r="AP33" s="549" t="s">
        <v>688</v>
      </c>
      <c r="AQ33" s="528">
        <v>4984</v>
      </c>
      <c r="AR33" s="528">
        <v>5406</v>
      </c>
      <c r="AS33" s="1237">
        <f>AR33-AQ33</f>
        <v>422</v>
      </c>
      <c r="AT33" s="1237"/>
      <c r="AU33" s="1237"/>
      <c r="AV33" s="542">
        <f>ROUND(AS33*AR38,-1)</f>
        <v>92840</v>
      </c>
    </row>
    <row r="34" spans="1:48" ht="15" customHeight="1">
      <c r="A34" s="133"/>
      <c r="B34" s="1240"/>
      <c r="C34" s="1163" t="s">
        <v>608</v>
      </c>
      <c r="D34" s="1164"/>
      <c r="E34" s="1164"/>
      <c r="F34" s="1164"/>
      <c r="G34" s="1165"/>
      <c r="H34" s="1134">
        <v>572</v>
      </c>
      <c r="I34" s="1135"/>
      <c r="J34" s="1135"/>
      <c r="K34" s="1135"/>
      <c r="L34" s="1136"/>
      <c r="M34" s="1134">
        <v>125840</v>
      </c>
      <c r="N34" s="1135"/>
      <c r="O34" s="1135"/>
      <c r="P34" s="1135"/>
      <c r="Q34" s="1136"/>
      <c r="R34" s="1137" t="s">
        <v>609</v>
      </c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9"/>
      <c r="AI34" s="509" t="s">
        <v>412</v>
      </c>
      <c r="AJ34" s="550">
        <f>-3620390-60000</f>
        <v>-3680390</v>
      </c>
      <c r="AK34" s="534"/>
      <c r="AL34" s="551"/>
      <c r="AM34" s="522"/>
      <c r="AP34" s="537" t="s">
        <v>689</v>
      </c>
      <c r="AQ34" s="659">
        <v>6885</v>
      </c>
      <c r="AR34" s="659">
        <v>6960</v>
      </c>
      <c r="AS34" s="529">
        <f>AR34-AQ34</f>
        <v>75</v>
      </c>
      <c r="AT34" s="529"/>
      <c r="AU34" s="529"/>
      <c r="AV34" s="1118">
        <f>ROUND(AS36*220,0)</f>
        <v>122760</v>
      </c>
    </row>
    <row r="35" spans="1:48" ht="15" customHeight="1">
      <c r="A35" s="133"/>
      <c r="B35" s="1240"/>
      <c r="C35" s="1163" t="s">
        <v>610</v>
      </c>
      <c r="D35" s="1164"/>
      <c r="E35" s="1164"/>
      <c r="F35" s="1164"/>
      <c r="G35" s="1165"/>
      <c r="H35" s="1134">
        <v>0</v>
      </c>
      <c r="I35" s="1135"/>
      <c r="J35" s="1135"/>
      <c r="K35" s="1135"/>
      <c r="L35" s="1136"/>
      <c r="M35" s="1134">
        <v>0</v>
      </c>
      <c r="N35" s="1135"/>
      <c r="O35" s="1135"/>
      <c r="P35" s="1135"/>
      <c r="Q35" s="1136"/>
      <c r="R35" s="1137" t="s">
        <v>611</v>
      </c>
      <c r="S35" s="1138"/>
      <c r="T35" s="1138"/>
      <c r="U35" s="1138"/>
      <c r="V35" s="1138"/>
      <c r="W35" s="1138"/>
      <c r="X35" s="1138"/>
      <c r="Y35" s="1138"/>
      <c r="Z35" s="1138"/>
      <c r="AA35" s="1138"/>
      <c r="AB35" s="1138"/>
      <c r="AC35" s="1138"/>
      <c r="AD35" s="1138"/>
      <c r="AE35" s="1139"/>
      <c r="AI35" s="522"/>
      <c r="AJ35" s="522"/>
      <c r="AK35" s="552"/>
      <c r="AL35" s="522"/>
      <c r="AM35" s="522"/>
      <c r="AP35" s="537"/>
      <c r="AQ35" s="659">
        <v>2681</v>
      </c>
      <c r="AR35" s="659">
        <v>2704</v>
      </c>
      <c r="AS35" s="538">
        <f>AR35-AQ35</f>
        <v>23</v>
      </c>
      <c r="AT35" s="538"/>
      <c r="AU35" s="533" t="s">
        <v>413</v>
      </c>
      <c r="AV35" s="1118"/>
    </row>
    <row r="36" spans="1:48" ht="15" customHeight="1">
      <c r="A36" s="133"/>
      <c r="B36" s="1240"/>
      <c r="C36" s="1163" t="s">
        <v>612</v>
      </c>
      <c r="D36" s="1164"/>
      <c r="E36" s="1164"/>
      <c r="F36" s="1164"/>
      <c r="G36" s="1165"/>
      <c r="H36" s="1134">
        <v>0</v>
      </c>
      <c r="I36" s="1135"/>
      <c r="J36" s="1135"/>
      <c r="K36" s="1135"/>
      <c r="L36" s="1136"/>
      <c r="M36" s="1134">
        <v>0</v>
      </c>
      <c r="N36" s="1135"/>
      <c r="O36" s="1135"/>
      <c r="P36" s="1135"/>
      <c r="Q36" s="1136"/>
      <c r="R36" s="1137" t="s">
        <v>613</v>
      </c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9"/>
      <c r="AI36" s="654" t="s">
        <v>414</v>
      </c>
      <c r="AJ36" s="522"/>
      <c r="AK36" s="534">
        <f>AA17-M38</f>
        <v>-1167320</v>
      </c>
      <c r="AL36" s="522"/>
      <c r="AM36" s="522"/>
      <c r="AP36" s="537"/>
      <c r="AQ36" s="659" t="s">
        <v>674</v>
      </c>
      <c r="AR36" s="659"/>
      <c r="AS36" s="1237">
        <f>AS34+AS35*21</f>
        <v>558</v>
      </c>
      <c r="AT36" s="1237"/>
      <c r="AU36" s="1237"/>
      <c r="AV36" s="1118"/>
    </row>
    <row r="37" spans="1:48" ht="15" customHeight="1" thickBot="1">
      <c r="A37" s="133"/>
      <c r="B37" s="1241"/>
      <c r="C37" s="1242" t="s">
        <v>593</v>
      </c>
      <c r="D37" s="1243"/>
      <c r="E37" s="1243"/>
      <c r="F37" s="1243"/>
      <c r="G37" s="1244"/>
      <c r="H37" s="1212">
        <f>SUM(H28:H36)</f>
        <v>4593</v>
      </c>
      <c r="I37" s="1213"/>
      <c r="J37" s="1213"/>
      <c r="K37" s="1213"/>
      <c r="L37" s="1214"/>
      <c r="M37" s="1212">
        <f>SUM(M28:M36)</f>
        <v>1010460</v>
      </c>
      <c r="N37" s="1213"/>
      <c r="O37" s="1213"/>
      <c r="P37" s="1213"/>
      <c r="Q37" s="1214"/>
      <c r="R37" s="1212"/>
      <c r="S37" s="1213"/>
      <c r="T37" s="1213"/>
      <c r="U37" s="1213"/>
      <c r="V37" s="1213"/>
      <c r="W37" s="1213"/>
      <c r="X37" s="1213"/>
      <c r="Y37" s="1213"/>
      <c r="Z37" s="1213"/>
      <c r="AA37" s="1213"/>
      <c r="AB37" s="1213"/>
      <c r="AC37" s="1213"/>
      <c r="AD37" s="1213"/>
      <c r="AE37" s="1250"/>
      <c r="AI37" s="551">
        <f>W12-M38</f>
        <v>-1167320</v>
      </c>
      <c r="AJ37" s="522" t="s">
        <v>690</v>
      </c>
      <c r="AK37" s="534"/>
      <c r="AL37" s="522"/>
      <c r="AM37" s="522"/>
      <c r="AP37" s="553" t="s">
        <v>691</v>
      </c>
      <c r="AQ37" s="528">
        <v>22247</v>
      </c>
      <c r="AR37" s="528">
        <v>22898</v>
      </c>
      <c r="AS37" s="1237">
        <f>AR37-AQ37</f>
        <v>651</v>
      </c>
      <c r="AT37" s="1237"/>
      <c r="AU37" s="1237"/>
      <c r="AV37" s="542">
        <f>ROUND(AS37*AR38,-1)</f>
        <v>143220</v>
      </c>
    </row>
    <row r="38" spans="1:48" ht="15" customHeight="1" thickTop="1" thickBot="1">
      <c r="A38" s="133"/>
      <c r="B38" s="1206" t="s">
        <v>614</v>
      </c>
      <c r="C38" s="1207"/>
      <c r="D38" s="1207"/>
      <c r="E38" s="1207"/>
      <c r="F38" s="1207"/>
      <c r="G38" s="1207"/>
      <c r="H38" s="1208">
        <f>SUM(H21,H26,H27,H37)</f>
        <v>550596</v>
      </c>
      <c r="I38" s="1208"/>
      <c r="J38" s="1208"/>
      <c r="K38" s="1208"/>
      <c r="L38" s="1208"/>
      <c r="M38" s="1208">
        <f>SUM(M21,M22,M26,M27,M37)</f>
        <v>32175670</v>
      </c>
      <c r="N38" s="1208"/>
      <c r="O38" s="1208"/>
      <c r="P38" s="1208"/>
      <c r="Q38" s="1208"/>
      <c r="R38" s="1252">
        <f>W12-M38</f>
        <v>-1167320</v>
      </c>
      <c r="S38" s="1253"/>
      <c r="T38" s="1253"/>
      <c r="U38" s="1253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4"/>
      <c r="AI38" s="522"/>
      <c r="AJ38" s="522"/>
      <c r="AK38" s="534"/>
      <c r="AL38" s="522"/>
      <c r="AM38" s="522"/>
      <c r="AP38" s="554" t="s">
        <v>12</v>
      </c>
      <c r="AQ38" s="555" t="s">
        <v>634</v>
      </c>
      <c r="AR38" s="556">
        <v>220</v>
      </c>
      <c r="AS38" s="1255">
        <f>AS21+AS26+AS36+AS28+AS32+AS33+AS27+AS37</f>
        <v>5163</v>
      </c>
      <c r="AT38" s="1255"/>
      <c r="AU38" s="1255"/>
      <c r="AV38" s="542">
        <f>SUM(AV16:AV37)</f>
        <v>1135860</v>
      </c>
    </row>
    <row r="39" spans="1:48" ht="15" customHeight="1">
      <c r="A39" s="133"/>
      <c r="B39" s="135"/>
      <c r="C39" s="135"/>
      <c r="D39" s="135"/>
      <c r="E39" s="135"/>
      <c r="F39" s="135"/>
      <c r="G39" s="13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J39" s="522"/>
      <c r="AK39" s="534"/>
      <c r="AL39" s="522"/>
      <c r="AM39" s="522"/>
    </row>
    <row r="40" spans="1:48" ht="15" customHeight="1">
      <c r="A40" s="133"/>
      <c r="B40" s="133" t="s">
        <v>615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J40" s="557"/>
      <c r="AK40" s="547" t="s">
        <v>692</v>
      </c>
      <c r="AL40" s="655" t="s">
        <v>693</v>
      </c>
      <c r="AM40" s="655" t="s">
        <v>694</v>
      </c>
    </row>
    <row r="41" spans="1:48" ht="15" customHeight="1">
      <c r="A41" s="133"/>
      <c r="B41" s="133"/>
      <c r="C41" s="133" t="s">
        <v>616</v>
      </c>
      <c r="D41" s="133"/>
      <c r="E41" s="133"/>
      <c r="F41" s="133"/>
      <c r="G41" s="1211">
        <f>M26</f>
        <v>-2816000</v>
      </c>
      <c r="H41" s="1211"/>
      <c r="I41" s="1211"/>
      <c r="J41" s="1211"/>
      <c r="K41" s="1211"/>
      <c r="L41" s="338" t="s">
        <v>617</v>
      </c>
      <c r="M41" s="1209">
        <v>256800</v>
      </c>
      <c r="N41" s="1209"/>
      <c r="O41" s="1209"/>
      <c r="P41" s="346" t="s">
        <v>617</v>
      </c>
      <c r="Q41" s="1209">
        <v>388580</v>
      </c>
      <c r="R41" s="1209"/>
      <c r="S41" s="1209"/>
      <c r="T41" s="346" t="s">
        <v>617</v>
      </c>
      <c r="U41" s="1256">
        <v>255000</v>
      </c>
      <c r="V41" s="1256"/>
      <c r="W41" s="1256"/>
      <c r="Y41" s="133" t="s">
        <v>618</v>
      </c>
      <c r="Z41" s="1257">
        <f>(G41-M41-Q41-U41)</f>
        <v>-3716380</v>
      </c>
      <c r="AA41" s="1257"/>
      <c r="AB41" s="1257"/>
      <c r="AC41" s="1257"/>
      <c r="AD41" s="1257"/>
      <c r="AE41" s="133" t="s">
        <v>619</v>
      </c>
      <c r="AI41" s="1238" t="s">
        <v>695</v>
      </c>
      <c r="AJ41" s="1238"/>
      <c r="AK41" s="654">
        <v>-5237880</v>
      </c>
      <c r="AL41" s="534">
        <v>-610520</v>
      </c>
      <c r="AM41" s="519">
        <f>SUM(AK41:AL41)</f>
        <v>-5848400</v>
      </c>
    </row>
    <row r="42" spans="1:48" ht="15" customHeight="1">
      <c r="A42" s="133"/>
      <c r="B42" s="133"/>
      <c r="C42" s="133" t="s">
        <v>620</v>
      </c>
      <c r="D42" s="133"/>
      <c r="E42" s="133"/>
      <c r="F42" s="133"/>
      <c r="G42" s="1210">
        <f>Z41</f>
        <v>-3716380</v>
      </c>
      <c r="H42" s="1210"/>
      <c r="I42" s="1210"/>
      <c r="J42" s="1210"/>
      <c r="K42" s="1210"/>
      <c r="L42" s="137" t="s">
        <v>621</v>
      </c>
      <c r="M42" s="1258">
        <v>166370</v>
      </c>
      <c r="N42" s="1258"/>
      <c r="O42" s="1258"/>
      <c r="P42" s="1258"/>
      <c r="Q42" s="1258"/>
      <c r="R42" s="1258"/>
      <c r="S42" s="138" t="s">
        <v>618</v>
      </c>
      <c r="T42" s="1185">
        <f>G42/M42</f>
        <v>-22.338041714251368</v>
      </c>
      <c r="U42" s="1185"/>
      <c r="V42" s="1185"/>
      <c r="W42" s="1185"/>
      <c r="X42" s="133" t="s">
        <v>619</v>
      </c>
      <c r="Y42" s="133" t="s">
        <v>622</v>
      </c>
      <c r="Z42" s="133" t="s">
        <v>171</v>
      </c>
      <c r="AA42" s="133"/>
      <c r="AB42" s="133"/>
      <c r="AC42" s="133"/>
      <c r="AD42" s="133"/>
      <c r="AE42" s="133"/>
      <c r="AI42" s="1220" t="s">
        <v>696</v>
      </c>
      <c r="AJ42" s="1220"/>
      <c r="AK42" s="654">
        <v>-668140</v>
      </c>
      <c r="AL42" s="522">
        <v>-573440</v>
      </c>
      <c r="AM42" s="519">
        <f>SUM(AK42:AL42)</f>
        <v>-1241580</v>
      </c>
    </row>
    <row r="43" spans="1:48" ht="15" customHeight="1" thickBot="1">
      <c r="A43" s="133"/>
      <c r="B43" s="133"/>
      <c r="C43" s="133" t="s">
        <v>623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I43" s="1220" t="s">
        <v>697</v>
      </c>
      <c r="AJ43" s="1220"/>
      <c r="AK43" s="654">
        <v>-460830</v>
      </c>
      <c r="AL43" s="519">
        <v>-460830</v>
      </c>
      <c r="AM43" s="519">
        <f>SUM(AK43:AL43)</f>
        <v>-921660</v>
      </c>
    </row>
    <row r="44" spans="1:48" ht="15" customHeight="1" thickBot="1">
      <c r="A44" s="133"/>
      <c r="B44" s="1174" t="s">
        <v>624</v>
      </c>
      <c r="C44" s="1175"/>
      <c r="D44" s="1175"/>
      <c r="E44" s="1175"/>
      <c r="F44" s="1175"/>
      <c r="G44" s="1175" t="s">
        <v>625</v>
      </c>
      <c r="H44" s="1175"/>
      <c r="I44" s="1175"/>
      <c r="J44" s="1175"/>
      <c r="K44" s="1175"/>
      <c r="L44" s="1175" t="s">
        <v>626</v>
      </c>
      <c r="M44" s="1175"/>
      <c r="N44" s="1175"/>
      <c r="O44" s="1175"/>
      <c r="P44" s="1175"/>
      <c r="Q44" s="1175" t="s">
        <v>627</v>
      </c>
      <c r="R44" s="1175"/>
      <c r="S44" s="1175"/>
      <c r="T44" s="1175"/>
      <c r="U44" s="1175"/>
      <c r="V44" s="1175" t="s">
        <v>628</v>
      </c>
      <c r="W44" s="1175"/>
      <c r="X44" s="1175"/>
      <c r="Y44" s="1175"/>
      <c r="Z44" s="1175"/>
      <c r="AA44" s="1175" t="s">
        <v>629</v>
      </c>
      <c r="AB44" s="1175"/>
      <c r="AC44" s="1175"/>
      <c r="AD44" s="1175"/>
      <c r="AE44" s="1176"/>
      <c r="AI44" s="1220" t="s">
        <v>415</v>
      </c>
      <c r="AJ44" s="1220"/>
      <c r="AK44" s="654">
        <v>-195000</v>
      </c>
      <c r="AL44" s="519">
        <v>-100000</v>
      </c>
      <c r="AM44" s="519">
        <f>SUM(AK44:AL44)</f>
        <v>-295000</v>
      </c>
    </row>
    <row r="45" spans="1:48" ht="15" customHeight="1" thickTop="1">
      <c r="A45" s="133"/>
      <c r="B45" s="1199">
        <v>79.319999999999993</v>
      </c>
      <c r="C45" s="1200"/>
      <c r="D45" s="1200"/>
      <c r="E45" s="1200"/>
      <c r="F45" s="1200"/>
      <c r="G45" s="1181">
        <f>T42</f>
        <v>-22.338041714251368</v>
      </c>
      <c r="H45" s="1182"/>
      <c r="I45" s="1182"/>
      <c r="J45" s="1182"/>
      <c r="K45" s="1183"/>
      <c r="L45" s="1196">
        <f>ROUND(B45*G45,-1)</f>
        <v>-1770</v>
      </c>
      <c r="M45" s="1197"/>
      <c r="N45" s="1197"/>
      <c r="O45" s="1197"/>
      <c r="P45" s="1198"/>
      <c r="Q45" s="1168">
        <v>258</v>
      </c>
      <c r="R45" s="1168"/>
      <c r="S45" s="1168"/>
      <c r="T45" s="1168"/>
      <c r="U45" s="1168"/>
      <c r="V45" s="1180">
        <f>ROUND(L45*Q45,0)</f>
        <v>-456660</v>
      </c>
      <c r="W45" s="1167"/>
      <c r="X45" s="1167"/>
      <c r="Y45" s="1167"/>
      <c r="Z45" s="1167"/>
      <c r="AA45" s="1172"/>
      <c r="AB45" s="1172"/>
      <c r="AC45" s="1172"/>
      <c r="AD45" s="1172"/>
      <c r="AE45" s="1173"/>
      <c r="AG45" s="534"/>
      <c r="AI45" s="1259" t="s">
        <v>698</v>
      </c>
      <c r="AJ45" s="1259"/>
      <c r="AK45" s="558">
        <f>SUM(AK41:AK44)</f>
        <v>-6561850</v>
      </c>
      <c r="AL45" s="535">
        <f>SUM(AL41:AL44)</f>
        <v>-1744790</v>
      </c>
      <c r="AM45" s="535">
        <f>SUM(AM41:AM44)</f>
        <v>-8306640</v>
      </c>
      <c r="AP45" s="522"/>
    </row>
    <row r="46" spans="1:48" ht="15" customHeight="1">
      <c r="A46" s="133"/>
      <c r="B46" s="1199">
        <v>92.54</v>
      </c>
      <c r="C46" s="1200"/>
      <c r="D46" s="1200"/>
      <c r="E46" s="1200"/>
      <c r="F46" s="1200"/>
      <c r="G46" s="1184"/>
      <c r="H46" s="1185"/>
      <c r="I46" s="1185"/>
      <c r="J46" s="1185"/>
      <c r="K46" s="1186"/>
      <c r="L46" s="1177">
        <f>ROUND(B46*G45,-1)</f>
        <v>-2070</v>
      </c>
      <c r="M46" s="1178"/>
      <c r="N46" s="1178"/>
      <c r="O46" s="1178"/>
      <c r="P46" s="1179"/>
      <c r="Q46" s="1168">
        <v>196</v>
      </c>
      <c r="R46" s="1168"/>
      <c r="S46" s="1168"/>
      <c r="T46" s="1168"/>
      <c r="U46" s="1168"/>
      <c r="V46" s="1180">
        <f t="shared" ref="V46:V51" si="0">ROUND(L46*Q46,0)</f>
        <v>-405720</v>
      </c>
      <c r="W46" s="1167"/>
      <c r="X46" s="1167"/>
      <c r="Y46" s="1167"/>
      <c r="Z46" s="1167"/>
      <c r="AA46" s="1172"/>
      <c r="AB46" s="1172"/>
      <c r="AC46" s="1172"/>
      <c r="AD46" s="1172"/>
      <c r="AE46" s="1173"/>
      <c r="AG46" s="534"/>
      <c r="AK46" s="654"/>
      <c r="AM46" s="519"/>
    </row>
    <row r="47" spans="1:48" ht="15" customHeight="1">
      <c r="A47" s="133"/>
      <c r="B47" s="1199">
        <v>109.07</v>
      </c>
      <c r="C47" s="1200"/>
      <c r="D47" s="1200"/>
      <c r="E47" s="1200"/>
      <c r="F47" s="1200"/>
      <c r="G47" s="1184"/>
      <c r="H47" s="1185"/>
      <c r="I47" s="1185"/>
      <c r="J47" s="1185"/>
      <c r="K47" s="1186"/>
      <c r="L47" s="1177">
        <f>ROUND(B47*G45,-1)</f>
        <v>-2440</v>
      </c>
      <c r="M47" s="1178"/>
      <c r="N47" s="1178"/>
      <c r="O47" s="1178"/>
      <c r="P47" s="1179"/>
      <c r="Q47" s="1168">
        <v>815</v>
      </c>
      <c r="R47" s="1168"/>
      <c r="S47" s="1168"/>
      <c r="T47" s="1168"/>
      <c r="U47" s="1168"/>
      <c r="V47" s="1180">
        <f t="shared" si="0"/>
        <v>-1988600</v>
      </c>
      <c r="W47" s="1167"/>
      <c r="X47" s="1167"/>
      <c r="Y47" s="1167"/>
      <c r="Z47" s="1167"/>
      <c r="AA47" s="1172"/>
      <c r="AB47" s="1172"/>
      <c r="AC47" s="1172"/>
      <c r="AD47" s="1172"/>
      <c r="AE47" s="1173"/>
      <c r="AG47" s="534"/>
      <c r="AL47" s="559" t="s">
        <v>699</v>
      </c>
      <c r="AM47" s="519">
        <v>2110190</v>
      </c>
    </row>
    <row r="48" spans="1:48" ht="15" customHeight="1">
      <c r="A48" s="133"/>
      <c r="B48" s="1199">
        <v>128.9</v>
      </c>
      <c r="C48" s="1200"/>
      <c r="D48" s="1200"/>
      <c r="E48" s="1200"/>
      <c r="F48" s="1200"/>
      <c r="G48" s="1184"/>
      <c r="H48" s="1185"/>
      <c r="I48" s="1185"/>
      <c r="J48" s="1185"/>
      <c r="K48" s="1186"/>
      <c r="L48" s="1177">
        <f>ROUND(B48*G45,-1)</f>
        <v>-2880</v>
      </c>
      <c r="M48" s="1178"/>
      <c r="N48" s="1178"/>
      <c r="O48" s="1178"/>
      <c r="P48" s="1179"/>
      <c r="Q48" s="1168">
        <v>68</v>
      </c>
      <c r="R48" s="1168"/>
      <c r="S48" s="1168"/>
      <c r="T48" s="1168"/>
      <c r="U48" s="1168"/>
      <c r="V48" s="1180">
        <f t="shared" si="0"/>
        <v>-195840</v>
      </c>
      <c r="W48" s="1167"/>
      <c r="X48" s="1167"/>
      <c r="Y48" s="1167"/>
      <c r="Z48" s="1167"/>
      <c r="AA48" s="1172"/>
      <c r="AB48" s="1172"/>
      <c r="AC48" s="1172"/>
      <c r="AD48" s="1172"/>
      <c r="AE48" s="1173"/>
      <c r="AG48" s="534"/>
      <c r="AM48" s="522"/>
    </row>
    <row r="49" spans="1:42" ht="15" customHeight="1">
      <c r="A49" s="133"/>
      <c r="B49" s="1199">
        <v>158.63999999999999</v>
      </c>
      <c r="C49" s="1200"/>
      <c r="D49" s="1200"/>
      <c r="E49" s="1200"/>
      <c r="F49" s="1200"/>
      <c r="G49" s="1184"/>
      <c r="H49" s="1185"/>
      <c r="I49" s="1185"/>
      <c r="J49" s="1185"/>
      <c r="K49" s="1186"/>
      <c r="L49" s="1177">
        <f>ROUND(B49*G45,-1)</f>
        <v>-3540</v>
      </c>
      <c r="M49" s="1178"/>
      <c r="N49" s="1178"/>
      <c r="O49" s="1178"/>
      <c r="P49" s="1179"/>
      <c r="Q49" s="1168">
        <v>102</v>
      </c>
      <c r="R49" s="1168"/>
      <c r="S49" s="1168"/>
      <c r="T49" s="1168"/>
      <c r="U49" s="1168"/>
      <c r="V49" s="1180">
        <f t="shared" si="0"/>
        <v>-361080</v>
      </c>
      <c r="W49" s="1167"/>
      <c r="X49" s="1167"/>
      <c r="Y49" s="1167"/>
      <c r="Z49" s="1167"/>
      <c r="AA49" s="1172"/>
      <c r="AB49" s="1172"/>
      <c r="AC49" s="1172"/>
      <c r="AD49" s="1172"/>
      <c r="AE49" s="1173"/>
      <c r="AG49" s="534"/>
      <c r="AJ49" s="519"/>
      <c r="AL49" s="509" t="s">
        <v>700</v>
      </c>
      <c r="AM49" s="560">
        <f>AM41-M23</f>
        <v>-558450</v>
      </c>
      <c r="AP49" s="522"/>
    </row>
    <row r="50" spans="1:42" ht="15" customHeight="1">
      <c r="A50" s="133"/>
      <c r="B50" s="1199">
        <v>188.39</v>
      </c>
      <c r="C50" s="1200"/>
      <c r="D50" s="1200"/>
      <c r="E50" s="1200"/>
      <c r="F50" s="1200"/>
      <c r="G50" s="1184"/>
      <c r="H50" s="1185"/>
      <c r="I50" s="1185"/>
      <c r="J50" s="1185"/>
      <c r="K50" s="1186"/>
      <c r="L50" s="1177">
        <f>ROUND(B50*G45,-1)</f>
        <v>-4210</v>
      </c>
      <c r="M50" s="1178"/>
      <c r="N50" s="1178"/>
      <c r="O50" s="1178"/>
      <c r="P50" s="1179"/>
      <c r="Q50" s="1168">
        <v>34</v>
      </c>
      <c r="R50" s="1168"/>
      <c r="S50" s="1168"/>
      <c r="T50" s="1168"/>
      <c r="U50" s="1168"/>
      <c r="V50" s="1180">
        <f t="shared" si="0"/>
        <v>-143140</v>
      </c>
      <c r="W50" s="1167"/>
      <c r="X50" s="1167"/>
      <c r="Y50" s="1167"/>
      <c r="Z50" s="1167"/>
      <c r="AA50" s="1172"/>
      <c r="AB50" s="1172"/>
      <c r="AC50" s="1172"/>
      <c r="AD50" s="1172"/>
      <c r="AE50" s="1173"/>
      <c r="AG50" s="534"/>
    </row>
    <row r="51" spans="1:42" ht="15" customHeight="1" thickBot="1">
      <c r="A51" s="133"/>
      <c r="B51" s="1190">
        <v>221.44</v>
      </c>
      <c r="C51" s="1191"/>
      <c r="D51" s="1191"/>
      <c r="E51" s="1191"/>
      <c r="F51" s="1191"/>
      <c r="G51" s="1187"/>
      <c r="H51" s="1188"/>
      <c r="I51" s="1188"/>
      <c r="J51" s="1188"/>
      <c r="K51" s="1189"/>
      <c r="L51" s="1192">
        <f>ROUND(B51*G45,-1)</f>
        <v>-4950</v>
      </c>
      <c r="M51" s="1193"/>
      <c r="N51" s="1193"/>
      <c r="O51" s="1193"/>
      <c r="P51" s="1194"/>
      <c r="Q51" s="1195">
        <v>34</v>
      </c>
      <c r="R51" s="1195"/>
      <c r="S51" s="1195"/>
      <c r="T51" s="1195"/>
      <c r="U51" s="1195"/>
      <c r="V51" s="1180">
        <f t="shared" si="0"/>
        <v>-168300</v>
      </c>
      <c r="W51" s="1167"/>
      <c r="X51" s="1167"/>
      <c r="Y51" s="1167"/>
      <c r="Z51" s="1167"/>
      <c r="AA51" s="1172"/>
      <c r="AB51" s="1172"/>
      <c r="AC51" s="1172"/>
      <c r="AD51" s="1172"/>
      <c r="AE51" s="1173"/>
    </row>
    <row r="52" spans="1:42" ht="15.75" customHeight="1" thickTop="1" thickBot="1">
      <c r="A52" s="133"/>
      <c r="B52" s="1206" t="s">
        <v>580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8">
        <f>SUM(Q45:Q51)</f>
        <v>1507</v>
      </c>
      <c r="R52" s="1208"/>
      <c r="S52" s="1208"/>
      <c r="T52" s="1208"/>
      <c r="U52" s="1208"/>
      <c r="V52" s="1260">
        <f>SUM(V45:V51)</f>
        <v>-3719340</v>
      </c>
      <c r="W52" s="1207"/>
      <c r="X52" s="1207"/>
      <c r="Y52" s="1207"/>
      <c r="Z52" s="1207"/>
      <c r="AA52" s="1260">
        <f>V52-G42</f>
        <v>-2960</v>
      </c>
      <c r="AB52" s="1207"/>
      <c r="AC52" s="1207"/>
      <c r="AD52" s="1207"/>
      <c r="AE52" s="1261"/>
      <c r="AP52" s="522"/>
    </row>
    <row r="53" spans="1:42" ht="1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</row>
    <row r="54" spans="1:42" ht="15" customHeight="1">
      <c r="A54" s="133"/>
      <c r="B54" s="139"/>
      <c r="C54" s="139"/>
      <c r="D54" s="139"/>
      <c r="E54" s="139"/>
      <c r="F54" s="135"/>
      <c r="G54" s="135"/>
      <c r="H54" s="135"/>
      <c r="I54" s="267"/>
      <c r="J54" s="267"/>
      <c r="K54" s="267"/>
      <c r="L54" s="136"/>
      <c r="M54" s="136"/>
      <c r="N54" s="136"/>
      <c r="O54" s="136"/>
      <c r="P54" s="135"/>
      <c r="Q54" s="135"/>
      <c r="R54" s="135"/>
      <c r="S54" s="135"/>
      <c r="T54" s="140"/>
      <c r="U54" s="135"/>
      <c r="V54" s="135"/>
      <c r="W54" s="141"/>
      <c r="X54" s="141"/>
      <c r="Y54" s="141"/>
      <c r="Z54" s="141"/>
      <c r="AA54" s="653"/>
      <c r="AB54" s="135"/>
      <c r="AC54" s="135"/>
      <c r="AD54" s="135"/>
      <c r="AE54" s="135"/>
      <c r="AF54" s="130"/>
      <c r="AK54" s="509"/>
    </row>
  </sheetData>
  <mergeCells count="213">
    <mergeCell ref="AI45:AJ45"/>
    <mergeCell ref="B52:F52"/>
    <mergeCell ref="G52:K52"/>
    <mergeCell ref="L52:P52"/>
    <mergeCell ref="Q52:U52"/>
    <mergeCell ref="V52:Z52"/>
    <mergeCell ref="AA52:AE52"/>
    <mergeCell ref="AA46:AE46"/>
    <mergeCell ref="B45:F45"/>
    <mergeCell ref="B50:F50"/>
    <mergeCell ref="L50:P50"/>
    <mergeCell ref="Q50:U50"/>
    <mergeCell ref="B49:F49"/>
    <mergeCell ref="L49:P49"/>
    <mergeCell ref="Q49:U49"/>
    <mergeCell ref="V49:Z49"/>
    <mergeCell ref="AA49:AE49"/>
    <mergeCell ref="B47:F47"/>
    <mergeCell ref="L47:P47"/>
    <mergeCell ref="AA51:AE51"/>
    <mergeCell ref="B48:F48"/>
    <mergeCell ref="L48:P48"/>
    <mergeCell ref="Q48:U48"/>
    <mergeCell ref="V48:Z48"/>
    <mergeCell ref="H27:L27"/>
    <mergeCell ref="C36:G36"/>
    <mergeCell ref="H36:L36"/>
    <mergeCell ref="AI43:AJ43"/>
    <mergeCell ref="AI44:AJ44"/>
    <mergeCell ref="R37:AE37"/>
    <mergeCell ref="AS36:AU36"/>
    <mergeCell ref="AS21:AU21"/>
    <mergeCell ref="R26:AE26"/>
    <mergeCell ref="AS28:AU28"/>
    <mergeCell ref="AS33:AU33"/>
    <mergeCell ref="AS26:AU26"/>
    <mergeCell ref="AS27:AU27"/>
    <mergeCell ref="AS32:AU32"/>
    <mergeCell ref="R38:AE38"/>
    <mergeCell ref="AS38:AU38"/>
    <mergeCell ref="Q41:S41"/>
    <mergeCell ref="U41:W41"/>
    <mergeCell ref="Z41:AD41"/>
    <mergeCell ref="M42:R42"/>
    <mergeCell ref="T42:W42"/>
    <mergeCell ref="M33:Q33"/>
    <mergeCell ref="R33:AE33"/>
    <mergeCell ref="M27:Q27"/>
    <mergeCell ref="AS37:AU37"/>
    <mergeCell ref="AI41:AJ41"/>
    <mergeCell ref="AI42:AJ42"/>
    <mergeCell ref="B28:B37"/>
    <mergeCell ref="C37:G37"/>
    <mergeCell ref="C30:G30"/>
    <mergeCell ref="H30:L30"/>
    <mergeCell ref="C31:G31"/>
    <mergeCell ref="H31:L31"/>
    <mergeCell ref="M37:Q37"/>
    <mergeCell ref="H33:L33"/>
    <mergeCell ref="M36:Q36"/>
    <mergeCell ref="R36:AE36"/>
    <mergeCell ref="M31:Q31"/>
    <mergeCell ref="AI4:AK4"/>
    <mergeCell ref="AI8:AI12"/>
    <mergeCell ref="W12:AB12"/>
    <mergeCell ref="H29:L29"/>
    <mergeCell ref="M29:Q29"/>
    <mergeCell ref="R29:AE29"/>
    <mergeCell ref="AA16:AE16"/>
    <mergeCell ref="N9:P9"/>
    <mergeCell ref="Q9:T9"/>
    <mergeCell ref="U9:X9"/>
    <mergeCell ref="AB9:AE10"/>
    <mergeCell ref="N10:P10"/>
    <mergeCell ref="Q10:T10"/>
    <mergeCell ref="U10:X10"/>
    <mergeCell ref="AI15:AJ15"/>
    <mergeCell ref="AK15:AL15"/>
    <mergeCell ref="M26:Q26"/>
    <mergeCell ref="H23:L23"/>
    <mergeCell ref="M23:Q23"/>
    <mergeCell ref="R23:AE23"/>
    <mergeCell ref="H24:L24"/>
    <mergeCell ref="M24:Q24"/>
    <mergeCell ref="R24:AE24"/>
    <mergeCell ref="H26:L26"/>
    <mergeCell ref="C33:G33"/>
    <mergeCell ref="C35:G35"/>
    <mergeCell ref="H35:L35"/>
    <mergeCell ref="M35:Q35"/>
    <mergeCell ref="R35:AE35"/>
    <mergeCell ref="AA45:AE45"/>
    <mergeCell ref="C28:G28"/>
    <mergeCell ref="H28:L28"/>
    <mergeCell ref="M28:Q28"/>
    <mergeCell ref="R28:AE28"/>
    <mergeCell ref="C29:G29"/>
    <mergeCell ref="C34:G34"/>
    <mergeCell ref="H34:L34"/>
    <mergeCell ref="M34:Q34"/>
    <mergeCell ref="R34:AE34"/>
    <mergeCell ref="B38:G38"/>
    <mergeCell ref="H38:L38"/>
    <mergeCell ref="M38:Q38"/>
    <mergeCell ref="M41:O41"/>
    <mergeCell ref="G42:K42"/>
    <mergeCell ref="G41:K41"/>
    <mergeCell ref="H37:L37"/>
    <mergeCell ref="AA48:AE48"/>
    <mergeCell ref="B44:F44"/>
    <mergeCell ref="L44:P44"/>
    <mergeCell ref="Q44:U44"/>
    <mergeCell ref="V44:Z44"/>
    <mergeCell ref="AA44:AE44"/>
    <mergeCell ref="L46:P46"/>
    <mergeCell ref="Q46:U46"/>
    <mergeCell ref="V46:Z46"/>
    <mergeCell ref="G44:K44"/>
    <mergeCell ref="G45:K51"/>
    <mergeCell ref="Q47:U47"/>
    <mergeCell ref="V47:Z47"/>
    <mergeCell ref="AA47:AE47"/>
    <mergeCell ref="B51:F51"/>
    <mergeCell ref="L51:P51"/>
    <mergeCell ref="Q51:U51"/>
    <mergeCell ref="V51:Z51"/>
    <mergeCell ref="V50:Z50"/>
    <mergeCell ref="AA50:AE50"/>
    <mergeCell ref="L45:P45"/>
    <mergeCell ref="Q45:U45"/>
    <mergeCell ref="V45:Z45"/>
    <mergeCell ref="B46:F46"/>
    <mergeCell ref="R31:AE31"/>
    <mergeCell ref="C32:G32"/>
    <mergeCell ref="B16:F16"/>
    <mergeCell ref="G16:J16"/>
    <mergeCell ref="K16:N16"/>
    <mergeCell ref="O16:R16"/>
    <mergeCell ref="S16:V16"/>
    <mergeCell ref="W16:Z16"/>
    <mergeCell ref="B17:F17"/>
    <mergeCell ref="S17:V17"/>
    <mergeCell ref="W17:Z17"/>
    <mergeCell ref="G17:J17"/>
    <mergeCell ref="B21:G21"/>
    <mergeCell ref="H32:L32"/>
    <mergeCell ref="C23:G23"/>
    <mergeCell ref="C25:G25"/>
    <mergeCell ref="H25:L25"/>
    <mergeCell ref="M25:Q25"/>
    <mergeCell ref="R25:AE25"/>
    <mergeCell ref="B22:G22"/>
    <mergeCell ref="B27:G27"/>
    <mergeCell ref="B23:B26"/>
    <mergeCell ref="C26:G26"/>
    <mergeCell ref="C24:G24"/>
    <mergeCell ref="Y2:AE2"/>
    <mergeCell ref="B4:T4"/>
    <mergeCell ref="U4:AE4"/>
    <mergeCell ref="B5:E5"/>
    <mergeCell ref="F5:I5"/>
    <mergeCell ref="J5:M5"/>
    <mergeCell ref="N5:T5"/>
    <mergeCell ref="U5:X5"/>
    <mergeCell ref="Y5:AE5"/>
    <mergeCell ref="B6:E10"/>
    <mergeCell ref="F6:I10"/>
    <mergeCell ref="J6:M10"/>
    <mergeCell ref="N6:P6"/>
    <mergeCell ref="Q6:T6"/>
    <mergeCell ref="U6:X6"/>
    <mergeCell ref="Y6:AA6"/>
    <mergeCell ref="AB6:AE6"/>
    <mergeCell ref="H22:L22"/>
    <mergeCell ref="M22:Q22"/>
    <mergeCell ref="R22:AE22"/>
    <mergeCell ref="H21:L21"/>
    <mergeCell ref="M21:Q21"/>
    <mergeCell ref="R21:AE21"/>
    <mergeCell ref="B15:F15"/>
    <mergeCell ref="G15:J15"/>
    <mergeCell ref="K15:N15"/>
    <mergeCell ref="O15:R15"/>
    <mergeCell ref="S15:V15"/>
    <mergeCell ref="W15:Z15"/>
    <mergeCell ref="AA15:AE15"/>
    <mergeCell ref="B20:G20"/>
    <mergeCell ref="H20:L20"/>
    <mergeCell ref="M20:Q20"/>
    <mergeCell ref="AS15:AU15"/>
    <mergeCell ref="AV16:AV21"/>
    <mergeCell ref="AV22:AV26"/>
    <mergeCell ref="AV30:AV32"/>
    <mergeCell ref="AV34:AV36"/>
    <mergeCell ref="N7:P7"/>
    <mergeCell ref="Q7:T7"/>
    <mergeCell ref="U7:X7"/>
    <mergeCell ref="Y7:AA7"/>
    <mergeCell ref="AB7:AE8"/>
    <mergeCell ref="N8:P8"/>
    <mergeCell ref="Q8:T8"/>
    <mergeCell ref="U8:X8"/>
    <mergeCell ref="Y8:AA8"/>
    <mergeCell ref="Y9:AA9"/>
    <mergeCell ref="Y10:AA10"/>
    <mergeCell ref="M30:Q30"/>
    <mergeCell ref="M32:Q32"/>
    <mergeCell ref="R32:AE32"/>
    <mergeCell ref="R30:AE30"/>
    <mergeCell ref="AA17:AE17"/>
    <mergeCell ref="K17:N17"/>
    <mergeCell ref="O17:R17"/>
    <mergeCell ref="R20:AE20"/>
  </mergeCells>
  <phoneticPr fontId="4" type="noConversion"/>
  <printOptions horizontalCentered="1"/>
  <pageMargins left="0.19685039370078741" right="0.19685039370078741" top="0.51181102362204722" bottom="0.23622047244094491" header="0.31496062992125984" footer="0.15748031496062992"/>
  <pageSetup paperSize="9" scale="9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L72"/>
  <sheetViews>
    <sheetView zoomScaleSheetLayoutView="100" workbookViewId="0">
      <selection activeCell="F4" sqref="F4"/>
    </sheetView>
  </sheetViews>
  <sheetFormatPr defaultColWidth="9.796875" defaultRowHeight="15.75" customHeight="1"/>
  <cols>
    <col min="1" max="1" width="9.796875" style="677"/>
    <col min="2" max="2" width="9.796875" style="678"/>
    <col min="3" max="3" width="9.796875" style="677"/>
    <col min="4" max="4" width="9.796875" style="679"/>
    <col min="5" max="5" width="9.796875" style="677"/>
    <col min="6" max="6" width="16.8984375" style="678" customWidth="1"/>
    <col min="7" max="7" width="16.296875" style="680" customWidth="1"/>
    <col min="8" max="27" width="9.796875" style="663"/>
    <col min="28" max="34" width="9.796875" style="693"/>
    <col min="35" max="64" width="9.796875" style="663"/>
    <col min="65" max="16384" width="9.796875" style="677"/>
  </cols>
  <sheetData>
    <row r="1" spans="1:64" ht="18.600000000000001" customHeight="1">
      <c r="A1" s="677" t="s">
        <v>172</v>
      </c>
    </row>
    <row r="2" spans="1:64" s="661" customFormat="1" ht="12" customHeight="1">
      <c r="A2" s="1262"/>
      <c r="B2" s="1262"/>
      <c r="C2" s="1262"/>
      <c r="D2" s="1262"/>
      <c r="E2" s="681"/>
      <c r="F2" s="682"/>
      <c r="G2" s="683">
        <v>140</v>
      </c>
      <c r="H2" s="561"/>
      <c r="I2" s="561" t="s">
        <v>416</v>
      </c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694"/>
      <c r="AC2" s="694"/>
      <c r="AD2" s="694"/>
      <c r="AE2" s="694"/>
      <c r="AF2" s="694"/>
      <c r="AG2" s="694"/>
      <c r="AH2" s="694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</row>
    <row r="3" spans="1:64" s="661" customFormat="1" ht="15.75" customHeight="1">
      <c r="A3" s="684" t="s">
        <v>630</v>
      </c>
      <c r="B3" s="685" t="s">
        <v>631</v>
      </c>
      <c r="C3" s="686" t="s">
        <v>417</v>
      </c>
      <c r="D3" s="685" t="s">
        <v>632</v>
      </c>
      <c r="E3" s="685" t="s">
        <v>633</v>
      </c>
      <c r="F3" s="686" t="s">
        <v>418</v>
      </c>
      <c r="G3" s="686" t="s">
        <v>530</v>
      </c>
      <c r="H3" s="561"/>
      <c r="I3" s="561" t="s">
        <v>630</v>
      </c>
      <c r="J3" s="664" t="s">
        <v>631</v>
      </c>
      <c r="K3" s="665" t="s">
        <v>271</v>
      </c>
      <c r="L3" s="666" t="s">
        <v>272</v>
      </c>
      <c r="M3" s="561" t="s">
        <v>275</v>
      </c>
      <c r="N3" s="667"/>
      <c r="O3" s="667"/>
      <c r="P3" s="667"/>
      <c r="Q3" s="667"/>
      <c r="R3" s="668" t="s">
        <v>634</v>
      </c>
      <c r="S3" s="561"/>
      <c r="T3" s="561"/>
      <c r="U3" s="561"/>
      <c r="V3" s="561"/>
      <c r="W3" s="561"/>
      <c r="X3" s="561"/>
      <c r="Y3" s="561"/>
      <c r="Z3" s="561"/>
      <c r="AA3" s="561"/>
      <c r="AB3" s="694"/>
      <c r="AC3" s="694"/>
      <c r="AD3" s="694"/>
      <c r="AE3" s="694"/>
      <c r="AF3" s="694"/>
      <c r="AG3" s="694"/>
      <c r="AH3" s="694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</row>
    <row r="4" spans="1:64" s="661" customFormat="1" ht="15.75" customHeight="1">
      <c r="A4" s="1263">
        <v>201</v>
      </c>
      <c r="B4" s="339" t="s">
        <v>635</v>
      </c>
      <c r="C4" s="340">
        <v>32</v>
      </c>
      <c r="D4" s="341">
        <v>510</v>
      </c>
      <c r="E4" s="342">
        <f>ROUND(D4*G2/C4,-1)</f>
        <v>2230</v>
      </c>
      <c r="F4" s="343">
        <v>71360</v>
      </c>
      <c r="G4" s="697" t="s">
        <v>419</v>
      </c>
      <c r="H4" s="562"/>
      <c r="I4" s="1266">
        <v>101</v>
      </c>
      <c r="J4" s="669" t="s">
        <v>635</v>
      </c>
      <c r="K4" s="566">
        <v>2972</v>
      </c>
      <c r="L4" s="566">
        <v>3428</v>
      </c>
      <c r="M4" s="670">
        <f t="shared" ref="M4:M49" si="0">L4-K4</f>
        <v>456</v>
      </c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694"/>
      <c r="AC4" s="694"/>
      <c r="AD4" s="694"/>
      <c r="AE4" s="694"/>
      <c r="AF4" s="694"/>
      <c r="AG4" s="694"/>
      <c r="AH4" s="694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</row>
    <row r="5" spans="1:64" s="661" customFormat="1" ht="15.75" customHeight="1">
      <c r="A5" s="1264"/>
      <c r="B5" s="339" t="s">
        <v>636</v>
      </c>
      <c r="C5" s="340">
        <v>32</v>
      </c>
      <c r="D5" s="341">
        <v>413</v>
      </c>
      <c r="E5" s="342">
        <f>ROUND(D5*G2/C5,-1)</f>
        <v>1810</v>
      </c>
      <c r="F5" s="343">
        <v>57920</v>
      </c>
      <c r="G5" s="697" t="s">
        <v>420</v>
      </c>
      <c r="H5" s="562"/>
      <c r="I5" s="1266"/>
      <c r="J5" s="669" t="s">
        <v>636</v>
      </c>
      <c r="K5" s="566">
        <v>85878</v>
      </c>
      <c r="L5" s="566">
        <v>86264</v>
      </c>
      <c r="M5" s="670">
        <f t="shared" si="0"/>
        <v>386</v>
      </c>
      <c r="N5" s="562"/>
      <c r="O5" s="562"/>
      <c r="P5" s="562"/>
      <c r="Q5" s="562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694"/>
      <c r="AC5" s="694"/>
      <c r="AD5" s="694"/>
      <c r="AE5" s="694"/>
      <c r="AF5" s="694"/>
      <c r="AG5" s="694"/>
      <c r="AH5" s="694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</row>
    <row r="6" spans="1:64" s="661" customFormat="1" ht="15.75" customHeight="1">
      <c r="A6" s="1265"/>
      <c r="B6" s="339" t="s">
        <v>637</v>
      </c>
      <c r="C6" s="340">
        <v>32</v>
      </c>
      <c r="D6" s="341">
        <v>475</v>
      </c>
      <c r="E6" s="342">
        <f>ROUND(D6*G2/C6,-1)</f>
        <v>2080</v>
      </c>
      <c r="F6" s="343">
        <v>66560</v>
      </c>
      <c r="G6" s="697" t="s">
        <v>420</v>
      </c>
      <c r="H6" s="562"/>
      <c r="I6" s="1266"/>
      <c r="J6" s="669" t="s">
        <v>637</v>
      </c>
      <c r="K6" s="566">
        <v>93588</v>
      </c>
      <c r="L6" s="566">
        <v>94018</v>
      </c>
      <c r="M6" s="670">
        <f t="shared" si="0"/>
        <v>430</v>
      </c>
      <c r="N6" s="562"/>
      <c r="O6" s="562"/>
      <c r="P6" s="562"/>
      <c r="Q6" s="562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694"/>
      <c r="AC6" s="694"/>
      <c r="AD6" s="694"/>
      <c r="AE6" s="694"/>
      <c r="AF6" s="694"/>
      <c r="AG6" s="694"/>
      <c r="AH6" s="694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</row>
    <row r="7" spans="1:64" s="661" customFormat="1" ht="15.75" customHeight="1">
      <c r="A7" s="1263">
        <v>202</v>
      </c>
      <c r="B7" s="339" t="s">
        <v>635</v>
      </c>
      <c r="C7" s="340">
        <v>32</v>
      </c>
      <c r="D7" s="341">
        <v>474</v>
      </c>
      <c r="E7" s="342">
        <f>ROUND(D7*G2/C7,-1)</f>
        <v>2070</v>
      </c>
      <c r="F7" s="343">
        <v>66240</v>
      </c>
      <c r="G7" s="697" t="s">
        <v>420</v>
      </c>
      <c r="H7" s="562"/>
      <c r="I7" s="1266">
        <v>102</v>
      </c>
      <c r="J7" s="669" t="s">
        <v>635</v>
      </c>
      <c r="K7" s="566">
        <v>1291</v>
      </c>
      <c r="L7" s="566">
        <v>1805</v>
      </c>
      <c r="M7" s="670">
        <f t="shared" si="0"/>
        <v>514</v>
      </c>
      <c r="N7" s="562"/>
      <c r="O7" s="562"/>
      <c r="P7" s="562"/>
      <c r="Q7" s="562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694"/>
      <c r="AC7" s="694"/>
      <c r="AD7" s="694"/>
      <c r="AE7" s="694"/>
      <c r="AF7" s="694"/>
      <c r="AG7" s="694"/>
      <c r="AH7" s="694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</row>
    <row r="8" spans="1:64" s="661" customFormat="1" ht="15.75" customHeight="1">
      <c r="A8" s="1265"/>
      <c r="B8" s="339" t="s">
        <v>636</v>
      </c>
      <c r="C8" s="340">
        <v>30</v>
      </c>
      <c r="D8" s="341">
        <v>470</v>
      </c>
      <c r="E8" s="342">
        <f>ROUND(D8*G2/C8,-1)</f>
        <v>2190</v>
      </c>
      <c r="F8" s="343">
        <v>65700</v>
      </c>
      <c r="G8" s="697"/>
      <c r="H8" s="562"/>
      <c r="I8" s="1266"/>
      <c r="J8" s="669" t="s">
        <v>636</v>
      </c>
      <c r="K8" s="566">
        <v>1205</v>
      </c>
      <c r="L8" s="566">
        <v>1703</v>
      </c>
      <c r="M8" s="670">
        <f t="shared" si="0"/>
        <v>498</v>
      </c>
      <c r="N8" s="562"/>
      <c r="O8" s="562"/>
      <c r="P8" s="562"/>
      <c r="Q8" s="562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694"/>
      <c r="AC8" s="694"/>
      <c r="AD8" s="694"/>
      <c r="AE8" s="694"/>
      <c r="AF8" s="694"/>
      <c r="AG8" s="694"/>
      <c r="AH8" s="694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</row>
    <row r="9" spans="1:64" s="661" customFormat="1" ht="15.75" customHeight="1">
      <c r="A9" s="1263">
        <v>203</v>
      </c>
      <c r="B9" s="339" t="s">
        <v>635</v>
      </c>
      <c r="C9" s="340">
        <v>30</v>
      </c>
      <c r="D9" s="341">
        <v>380</v>
      </c>
      <c r="E9" s="342">
        <f>ROUND(D9*G2/C9,-1)</f>
        <v>1770</v>
      </c>
      <c r="F9" s="343">
        <v>53100</v>
      </c>
      <c r="G9" s="697"/>
      <c r="H9" s="562"/>
      <c r="I9" s="1266">
        <v>103</v>
      </c>
      <c r="J9" s="669" t="s">
        <v>635</v>
      </c>
      <c r="K9" s="566">
        <v>87336</v>
      </c>
      <c r="L9" s="566">
        <v>87689</v>
      </c>
      <c r="M9" s="670">
        <f t="shared" si="0"/>
        <v>353</v>
      </c>
      <c r="N9" s="562"/>
      <c r="O9" s="562"/>
      <c r="P9" s="562"/>
      <c r="Q9" s="562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694"/>
      <c r="AC9" s="694"/>
      <c r="AD9" s="694"/>
      <c r="AE9" s="694"/>
      <c r="AF9" s="694"/>
      <c r="AG9" s="694"/>
      <c r="AH9" s="694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</row>
    <row r="10" spans="1:64" s="661" customFormat="1" ht="15.75" customHeight="1">
      <c r="A10" s="1265"/>
      <c r="B10" s="339" t="s">
        <v>636</v>
      </c>
      <c r="C10" s="340">
        <v>32</v>
      </c>
      <c r="D10" s="341">
        <v>428</v>
      </c>
      <c r="E10" s="342">
        <f>ROUND(D10*G2/C10,-1)</f>
        <v>1870</v>
      </c>
      <c r="F10" s="343">
        <v>59840</v>
      </c>
      <c r="G10" s="697" t="s">
        <v>420</v>
      </c>
      <c r="H10" s="562"/>
      <c r="I10" s="1266"/>
      <c r="J10" s="669" t="s">
        <v>636</v>
      </c>
      <c r="K10" s="566">
        <v>95190</v>
      </c>
      <c r="L10" s="566">
        <v>95594</v>
      </c>
      <c r="M10" s="670">
        <f t="shared" si="0"/>
        <v>404</v>
      </c>
      <c r="N10" s="562"/>
      <c r="O10" s="562"/>
      <c r="P10" s="562"/>
      <c r="Q10" s="562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694"/>
      <c r="AC10" s="694"/>
      <c r="AD10" s="694"/>
      <c r="AE10" s="694"/>
      <c r="AF10" s="694"/>
      <c r="AG10" s="694"/>
      <c r="AH10" s="694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</row>
    <row r="11" spans="1:64" s="661" customFormat="1" ht="15.75" customHeight="1">
      <c r="A11" s="1263">
        <v>204</v>
      </c>
      <c r="B11" s="339" t="s">
        <v>635</v>
      </c>
      <c r="C11" s="340">
        <v>18</v>
      </c>
      <c r="D11" s="341">
        <v>241</v>
      </c>
      <c r="E11" s="342">
        <f>ROUND(D11*G2/C11,-1)</f>
        <v>1870</v>
      </c>
      <c r="F11" s="343">
        <v>33660</v>
      </c>
      <c r="G11" s="697" t="s">
        <v>0</v>
      </c>
      <c r="H11" s="562"/>
      <c r="I11" s="1266">
        <v>104</v>
      </c>
      <c r="J11" s="669" t="s">
        <v>635</v>
      </c>
      <c r="K11" s="566">
        <v>53488</v>
      </c>
      <c r="L11" s="566">
        <v>53747</v>
      </c>
      <c r="M11" s="670">
        <f t="shared" si="0"/>
        <v>259</v>
      </c>
      <c r="N11" s="562"/>
      <c r="O11" s="562"/>
      <c r="P11" s="562"/>
      <c r="Q11" s="562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694"/>
      <c r="AC11" s="694"/>
      <c r="AD11" s="694"/>
      <c r="AE11" s="694"/>
      <c r="AF11" s="694"/>
      <c r="AG11" s="694"/>
      <c r="AH11" s="694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</row>
    <row r="12" spans="1:64" s="661" customFormat="1" ht="15.75" customHeight="1">
      <c r="A12" s="1264"/>
      <c r="B12" s="339" t="s">
        <v>636</v>
      </c>
      <c r="C12" s="340">
        <v>22</v>
      </c>
      <c r="D12" s="341">
        <v>354</v>
      </c>
      <c r="E12" s="342">
        <f>ROUND(D12*G2/C12,-1)</f>
        <v>2250</v>
      </c>
      <c r="F12" s="343">
        <v>49500</v>
      </c>
      <c r="G12" s="697"/>
      <c r="H12" s="562"/>
      <c r="I12" s="1266"/>
      <c r="J12" s="669" t="s">
        <v>636</v>
      </c>
      <c r="K12" s="566">
        <v>72035</v>
      </c>
      <c r="L12" s="566">
        <v>72399</v>
      </c>
      <c r="M12" s="670">
        <f t="shared" si="0"/>
        <v>364</v>
      </c>
      <c r="N12" s="562"/>
      <c r="O12" s="562"/>
      <c r="P12" s="562"/>
      <c r="Q12" s="562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694"/>
      <c r="AC12" s="694"/>
      <c r="AD12" s="694"/>
      <c r="AE12" s="694"/>
      <c r="AF12" s="694"/>
      <c r="AG12" s="694"/>
      <c r="AH12" s="694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</row>
    <row r="13" spans="1:64" s="661" customFormat="1" ht="15.75" customHeight="1">
      <c r="A13" s="1265"/>
      <c r="B13" s="339" t="s">
        <v>637</v>
      </c>
      <c r="C13" s="340">
        <v>32</v>
      </c>
      <c r="D13" s="341">
        <v>527</v>
      </c>
      <c r="E13" s="342">
        <f>ROUND(D13*G2/C13,-1)</f>
        <v>2310</v>
      </c>
      <c r="F13" s="343">
        <v>73920</v>
      </c>
      <c r="G13" s="697" t="s">
        <v>420</v>
      </c>
      <c r="H13" s="562"/>
      <c r="I13" s="1266"/>
      <c r="J13" s="669" t="s">
        <v>637</v>
      </c>
      <c r="K13" s="566">
        <v>1609</v>
      </c>
      <c r="L13" s="566">
        <v>2157</v>
      </c>
      <c r="M13" s="670">
        <f t="shared" si="0"/>
        <v>548</v>
      </c>
      <c r="N13" s="562"/>
      <c r="O13" s="562"/>
      <c r="P13" s="562"/>
      <c r="Q13" s="562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694"/>
      <c r="AC13" s="694"/>
      <c r="AD13" s="694"/>
      <c r="AE13" s="694"/>
      <c r="AF13" s="694"/>
      <c r="AG13" s="694"/>
      <c r="AH13" s="694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</row>
    <row r="14" spans="1:64" s="661" customFormat="1" ht="15.75" customHeight="1">
      <c r="A14" s="1263">
        <v>205</v>
      </c>
      <c r="B14" s="339" t="s">
        <v>635</v>
      </c>
      <c r="C14" s="340">
        <v>32</v>
      </c>
      <c r="D14" s="341">
        <v>427</v>
      </c>
      <c r="E14" s="342">
        <f>ROUND(D14*G2/C14,-1)</f>
        <v>1870</v>
      </c>
      <c r="F14" s="343">
        <v>59840</v>
      </c>
      <c r="G14" s="697" t="s">
        <v>419</v>
      </c>
      <c r="H14" s="562"/>
      <c r="I14" s="1266">
        <v>105</v>
      </c>
      <c r="J14" s="669" t="s">
        <v>635</v>
      </c>
      <c r="K14" s="566">
        <v>85620</v>
      </c>
      <c r="L14" s="566">
        <v>86024</v>
      </c>
      <c r="M14" s="670">
        <f t="shared" si="0"/>
        <v>404</v>
      </c>
      <c r="N14" s="562"/>
      <c r="O14" s="562"/>
      <c r="P14" s="562"/>
      <c r="Q14" s="562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694"/>
      <c r="AC14" s="694"/>
      <c r="AD14" s="694"/>
      <c r="AE14" s="694"/>
      <c r="AF14" s="694"/>
      <c r="AG14" s="694"/>
      <c r="AH14" s="694"/>
      <c r="AI14" s="561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</row>
    <row r="15" spans="1:64" s="661" customFormat="1" ht="15.75" customHeight="1">
      <c r="A15" s="1264"/>
      <c r="B15" s="339" t="s">
        <v>636</v>
      </c>
      <c r="C15" s="340">
        <v>30</v>
      </c>
      <c r="D15" s="341">
        <v>381</v>
      </c>
      <c r="E15" s="342">
        <f>ROUND(D15*G2/C15,-1)</f>
        <v>1780</v>
      </c>
      <c r="F15" s="343">
        <v>53400</v>
      </c>
      <c r="G15" s="697" t="s">
        <v>0</v>
      </c>
      <c r="H15" s="562"/>
      <c r="I15" s="1266"/>
      <c r="J15" s="669" t="s">
        <v>636</v>
      </c>
      <c r="K15" s="566">
        <v>90597</v>
      </c>
      <c r="L15" s="566">
        <v>90987</v>
      </c>
      <c r="M15" s="670">
        <f t="shared" si="0"/>
        <v>390</v>
      </c>
      <c r="N15" s="562"/>
      <c r="O15" s="562"/>
      <c r="P15" s="562"/>
      <c r="Q15" s="562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694"/>
      <c r="AC15" s="694"/>
      <c r="AD15" s="694"/>
      <c r="AE15" s="694"/>
      <c r="AF15" s="694"/>
      <c r="AG15" s="694"/>
      <c r="AH15" s="694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</row>
    <row r="16" spans="1:64" s="661" customFormat="1" ht="15.75" customHeight="1">
      <c r="A16" s="1264"/>
      <c r="B16" s="339" t="s">
        <v>637</v>
      </c>
      <c r="C16" s="340">
        <v>32</v>
      </c>
      <c r="D16" s="341">
        <v>356</v>
      </c>
      <c r="E16" s="342">
        <f>ROUND(D16*G2/C16,-1)</f>
        <v>1560</v>
      </c>
      <c r="F16" s="343">
        <v>49920</v>
      </c>
      <c r="G16" s="697" t="s">
        <v>420</v>
      </c>
      <c r="H16" s="562"/>
      <c r="I16" s="1266"/>
      <c r="J16" s="669" t="s">
        <v>637</v>
      </c>
      <c r="K16" s="566">
        <v>79166</v>
      </c>
      <c r="L16" s="566">
        <v>79531</v>
      </c>
      <c r="M16" s="670">
        <f t="shared" si="0"/>
        <v>365</v>
      </c>
      <c r="N16" s="562"/>
      <c r="O16" s="562"/>
      <c r="P16" s="562"/>
      <c r="Q16" s="562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694"/>
      <c r="AC16" s="694"/>
      <c r="AD16" s="694"/>
      <c r="AE16" s="694"/>
      <c r="AF16" s="694"/>
      <c r="AG16" s="694"/>
      <c r="AH16" s="694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  <c r="AV16" s="561"/>
      <c r="AW16" s="561"/>
      <c r="AX16" s="561"/>
      <c r="AY16" s="561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</row>
    <row r="17" spans="1:64" s="661" customFormat="1" ht="15.75" customHeight="1">
      <c r="A17" s="1265"/>
      <c r="B17" s="339" t="s">
        <v>638</v>
      </c>
      <c r="C17" s="340">
        <v>30</v>
      </c>
      <c r="D17" s="341">
        <v>391</v>
      </c>
      <c r="E17" s="342">
        <f>ROUND(D17*G2/C17,-1)</f>
        <v>1820</v>
      </c>
      <c r="F17" s="343">
        <v>54600</v>
      </c>
      <c r="G17" s="697"/>
      <c r="H17" s="562"/>
      <c r="I17" s="1266"/>
      <c r="J17" s="669" t="s">
        <v>638</v>
      </c>
      <c r="K17" s="566">
        <v>88896</v>
      </c>
      <c r="L17" s="566">
        <v>89285</v>
      </c>
      <c r="M17" s="670">
        <f t="shared" si="0"/>
        <v>389</v>
      </c>
      <c r="N17" s="562"/>
      <c r="O17" s="562"/>
      <c r="P17" s="562"/>
      <c r="Q17" s="562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694"/>
      <c r="AC17" s="694"/>
      <c r="AD17" s="694"/>
      <c r="AE17" s="694"/>
      <c r="AF17" s="694"/>
      <c r="AG17" s="694"/>
      <c r="AH17" s="694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</row>
    <row r="18" spans="1:64" s="661" customFormat="1" ht="15.75" customHeight="1">
      <c r="A18" s="1263">
        <v>206</v>
      </c>
      <c r="B18" s="339" t="s">
        <v>635</v>
      </c>
      <c r="C18" s="340">
        <v>32</v>
      </c>
      <c r="D18" s="341">
        <v>484</v>
      </c>
      <c r="E18" s="342">
        <f>ROUND(D18*G2/C18,-1)</f>
        <v>2120</v>
      </c>
      <c r="F18" s="343">
        <v>67840</v>
      </c>
      <c r="G18" s="697" t="s">
        <v>639</v>
      </c>
      <c r="H18" s="562"/>
      <c r="I18" s="1266">
        <v>106</v>
      </c>
      <c r="J18" s="669" t="s">
        <v>635</v>
      </c>
      <c r="K18" s="566">
        <v>96881</v>
      </c>
      <c r="L18" s="566">
        <v>97352</v>
      </c>
      <c r="M18" s="670">
        <f t="shared" si="0"/>
        <v>471</v>
      </c>
      <c r="N18" s="562"/>
      <c r="O18" s="562"/>
      <c r="P18" s="562"/>
      <c r="Q18" s="562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694"/>
      <c r="AC18" s="694"/>
      <c r="AD18" s="694"/>
      <c r="AE18" s="694"/>
      <c r="AF18" s="694"/>
      <c r="AG18" s="694"/>
      <c r="AH18" s="694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</row>
    <row r="19" spans="1:64" s="661" customFormat="1" ht="15.75" customHeight="1">
      <c r="A19" s="1265"/>
      <c r="B19" s="339" t="s">
        <v>636</v>
      </c>
      <c r="C19" s="340">
        <v>30</v>
      </c>
      <c r="D19" s="341">
        <v>445</v>
      </c>
      <c r="E19" s="342">
        <f>ROUND(D19*G2/C19,-1)</f>
        <v>2080</v>
      </c>
      <c r="F19" s="343">
        <v>62400</v>
      </c>
      <c r="G19" s="697"/>
      <c r="H19" s="562"/>
      <c r="I19" s="1266"/>
      <c r="J19" s="669" t="s">
        <v>636</v>
      </c>
      <c r="K19" s="566">
        <v>96274</v>
      </c>
      <c r="L19" s="566">
        <v>96706</v>
      </c>
      <c r="M19" s="670">
        <f t="shared" si="0"/>
        <v>432</v>
      </c>
      <c r="N19" s="562"/>
      <c r="O19" s="562"/>
      <c r="P19" s="562"/>
      <c r="Q19" s="562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694"/>
      <c r="AC19" s="694"/>
      <c r="AD19" s="694"/>
      <c r="AE19" s="694"/>
      <c r="AF19" s="694"/>
      <c r="AG19" s="694"/>
      <c r="AH19" s="694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</row>
    <row r="20" spans="1:64" s="661" customFormat="1" ht="15.75" customHeight="1">
      <c r="A20" s="1263">
        <v>207</v>
      </c>
      <c r="B20" s="339" t="s">
        <v>635</v>
      </c>
      <c r="C20" s="340">
        <v>30</v>
      </c>
      <c r="D20" s="341">
        <v>459</v>
      </c>
      <c r="E20" s="342">
        <f>ROUND(D20*G2/C20,-1)</f>
        <v>2140</v>
      </c>
      <c r="F20" s="343">
        <v>64200</v>
      </c>
      <c r="G20" s="697"/>
      <c r="H20" s="562"/>
      <c r="I20" s="1266">
        <v>107</v>
      </c>
      <c r="J20" s="669" t="s">
        <v>635</v>
      </c>
      <c r="K20" s="566">
        <v>93536</v>
      </c>
      <c r="L20" s="566">
        <v>93953</v>
      </c>
      <c r="M20" s="670">
        <f t="shared" si="0"/>
        <v>417</v>
      </c>
      <c r="N20" s="562"/>
      <c r="O20" s="562"/>
      <c r="P20" s="562"/>
      <c r="Q20" s="562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694"/>
      <c r="AC20" s="694"/>
      <c r="AD20" s="694"/>
      <c r="AE20" s="694"/>
      <c r="AF20" s="694"/>
      <c r="AG20" s="694"/>
      <c r="AH20" s="694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  <c r="AV20" s="561"/>
      <c r="AW20" s="561"/>
      <c r="AX20" s="561"/>
      <c r="AY20" s="561"/>
      <c r="AZ20" s="561"/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</row>
    <row r="21" spans="1:64" s="661" customFormat="1" ht="15.75" customHeight="1">
      <c r="A21" s="1265"/>
      <c r="B21" s="339" t="s">
        <v>636</v>
      </c>
      <c r="C21" s="340">
        <v>32</v>
      </c>
      <c r="D21" s="341">
        <v>423</v>
      </c>
      <c r="E21" s="342">
        <f>ROUND(D21*G2/C21,-1)</f>
        <v>1850</v>
      </c>
      <c r="F21" s="343">
        <v>59200</v>
      </c>
      <c r="G21" s="697" t="s">
        <v>640</v>
      </c>
      <c r="H21" s="562"/>
      <c r="I21" s="1266"/>
      <c r="J21" s="669" t="s">
        <v>636</v>
      </c>
      <c r="K21" s="566">
        <v>93505</v>
      </c>
      <c r="L21" s="566">
        <v>93900</v>
      </c>
      <c r="M21" s="670">
        <f t="shared" si="0"/>
        <v>395</v>
      </c>
      <c r="N21" s="562"/>
      <c r="O21" s="562"/>
      <c r="P21" s="562"/>
      <c r="Q21" s="562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695"/>
      <c r="AC21" s="695"/>
      <c r="AD21" s="695"/>
      <c r="AE21" s="696"/>
      <c r="AF21" s="696"/>
      <c r="AG21" s="694"/>
      <c r="AH21" s="694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</row>
    <row r="22" spans="1:64" s="661" customFormat="1" ht="15.75" customHeight="1">
      <c r="A22" s="1263">
        <v>208</v>
      </c>
      <c r="B22" s="339" t="s">
        <v>635</v>
      </c>
      <c r="C22" s="340">
        <v>30</v>
      </c>
      <c r="D22" s="341">
        <v>447</v>
      </c>
      <c r="E22" s="342">
        <f>ROUND(D22*G2/C22,-1)</f>
        <v>2090</v>
      </c>
      <c r="F22" s="343">
        <v>62700</v>
      </c>
      <c r="G22" s="697"/>
      <c r="H22" s="562"/>
      <c r="I22" s="1266">
        <v>108</v>
      </c>
      <c r="J22" s="669" t="s">
        <v>635</v>
      </c>
      <c r="K22" s="566">
        <v>89701</v>
      </c>
      <c r="L22" s="566">
        <v>90102</v>
      </c>
      <c r="M22" s="670">
        <f t="shared" si="0"/>
        <v>401</v>
      </c>
      <c r="N22" s="562"/>
      <c r="O22" s="562"/>
      <c r="P22" s="562"/>
      <c r="Q22" s="562"/>
      <c r="R22" s="561"/>
      <c r="S22" s="561"/>
      <c r="T22" s="561"/>
      <c r="U22" s="561"/>
      <c r="V22" s="1268" t="s">
        <v>421</v>
      </c>
      <c r="W22" s="1268"/>
      <c r="X22" s="1267">
        <v>200</v>
      </c>
      <c r="Y22" s="1267"/>
      <c r="Z22" s="1267"/>
      <c r="AA22" s="1267"/>
      <c r="AB22" s="695"/>
      <c r="AC22" s="695"/>
      <c r="AD22" s="695"/>
      <c r="AE22" s="696"/>
      <c r="AF22" s="696"/>
      <c r="AG22" s="694"/>
      <c r="AH22" s="694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</row>
    <row r="23" spans="1:64" s="661" customFormat="1" ht="15.75" customHeight="1">
      <c r="A23" s="1265"/>
      <c r="B23" s="339" t="s">
        <v>636</v>
      </c>
      <c r="C23" s="340">
        <v>20</v>
      </c>
      <c r="D23" s="341">
        <v>335</v>
      </c>
      <c r="E23" s="342">
        <f>ROUND(D23*G2/C23,-1)</f>
        <v>2350</v>
      </c>
      <c r="F23" s="343">
        <v>47000</v>
      </c>
      <c r="G23" s="697"/>
      <c r="H23" s="562"/>
      <c r="I23" s="1266"/>
      <c r="J23" s="669" t="s">
        <v>636</v>
      </c>
      <c r="K23" s="566">
        <v>66642</v>
      </c>
      <c r="L23" s="566">
        <v>66943</v>
      </c>
      <c r="M23" s="670">
        <f t="shared" si="0"/>
        <v>301</v>
      </c>
      <c r="N23" s="562"/>
      <c r="O23" s="562"/>
      <c r="P23" s="562"/>
      <c r="Q23" s="562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695"/>
      <c r="AC23" s="695"/>
      <c r="AD23" s="695"/>
      <c r="AE23" s="696"/>
      <c r="AF23" s="696"/>
      <c r="AG23" s="694"/>
      <c r="AH23" s="694"/>
      <c r="AI23" s="561"/>
      <c r="AJ23" s="561"/>
      <c r="AK23" s="561"/>
      <c r="AL23" s="561"/>
      <c r="AM23" s="561"/>
      <c r="AN23" s="561"/>
      <c r="AO23" s="561"/>
      <c r="AP23" s="561"/>
      <c r="AQ23" s="561"/>
      <c r="AR23" s="561"/>
      <c r="AS23" s="561"/>
      <c r="AT23" s="561"/>
      <c r="AU23" s="561"/>
      <c r="AV23" s="561"/>
      <c r="AW23" s="561"/>
      <c r="AX23" s="561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</row>
    <row r="24" spans="1:64" s="661" customFormat="1" ht="15.75" customHeight="1">
      <c r="A24" s="1263">
        <v>209</v>
      </c>
      <c r="B24" s="339" t="s">
        <v>635</v>
      </c>
      <c r="C24" s="340">
        <v>32</v>
      </c>
      <c r="D24" s="341">
        <v>454</v>
      </c>
      <c r="E24" s="342">
        <f>ROUND(D24*G2/C24,-1)</f>
        <v>1990</v>
      </c>
      <c r="F24" s="343">
        <v>63680</v>
      </c>
      <c r="G24" s="697" t="s">
        <v>420</v>
      </c>
      <c r="H24" s="562"/>
      <c r="I24" s="1266">
        <v>109</v>
      </c>
      <c r="J24" s="669" t="s">
        <v>635</v>
      </c>
      <c r="K24" s="566">
        <v>6480</v>
      </c>
      <c r="L24" s="566">
        <v>6930</v>
      </c>
      <c r="M24" s="670">
        <f t="shared" si="0"/>
        <v>450</v>
      </c>
      <c r="N24" s="562"/>
      <c r="O24" s="562"/>
      <c r="P24" s="562"/>
      <c r="Q24" s="562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695"/>
      <c r="AC24" s="695"/>
      <c r="AD24" s="695"/>
      <c r="AE24" s="696"/>
      <c r="AF24" s="696"/>
      <c r="AG24" s="694"/>
      <c r="AH24" s="694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</row>
    <row r="25" spans="1:64" s="661" customFormat="1" ht="15.75" customHeight="1">
      <c r="A25" s="1264"/>
      <c r="B25" s="339" t="s">
        <v>636</v>
      </c>
      <c r="C25" s="340">
        <v>32</v>
      </c>
      <c r="D25" s="341">
        <v>463</v>
      </c>
      <c r="E25" s="342">
        <f>ROUND(D25*G2/C25,-1)</f>
        <v>2030</v>
      </c>
      <c r="F25" s="343">
        <v>64960</v>
      </c>
      <c r="G25" s="697" t="s">
        <v>420</v>
      </c>
      <c r="H25" s="562"/>
      <c r="I25" s="1266"/>
      <c r="J25" s="669" t="s">
        <v>636</v>
      </c>
      <c r="K25" s="566">
        <v>96502</v>
      </c>
      <c r="L25" s="566">
        <v>96960</v>
      </c>
      <c r="M25" s="670">
        <f t="shared" si="0"/>
        <v>458</v>
      </c>
      <c r="N25" s="562"/>
      <c r="O25" s="562"/>
      <c r="P25" s="562"/>
      <c r="Q25" s="562"/>
      <c r="R25" s="561"/>
      <c r="S25" s="561"/>
      <c r="T25" s="561"/>
      <c r="U25" s="561"/>
      <c r="V25" s="561"/>
      <c r="W25" s="561"/>
      <c r="X25" s="561"/>
      <c r="Y25" s="561"/>
      <c r="Z25" s="561"/>
      <c r="AA25" s="561"/>
      <c r="AB25" s="695"/>
      <c r="AC25" s="695"/>
      <c r="AD25" s="695"/>
      <c r="AE25" s="696"/>
      <c r="AF25" s="696"/>
      <c r="AG25" s="694"/>
      <c r="AH25" s="694"/>
      <c r="AI25" s="561"/>
      <c r="AJ25" s="561"/>
      <c r="AK25" s="561"/>
      <c r="AL25" s="561"/>
      <c r="AM25" s="561"/>
      <c r="AN25" s="561"/>
      <c r="AO25" s="561"/>
      <c r="AP25" s="561"/>
      <c r="AQ25" s="561"/>
      <c r="AR25" s="561"/>
      <c r="AS25" s="561"/>
      <c r="AT25" s="561"/>
      <c r="AU25" s="561"/>
      <c r="AV25" s="561"/>
      <c r="AW25" s="561"/>
      <c r="AX25" s="561"/>
      <c r="AY25" s="561"/>
      <c r="AZ25" s="561"/>
      <c r="BA25" s="561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</row>
    <row r="26" spans="1:64" s="661" customFormat="1" ht="15.75" customHeight="1">
      <c r="A26" s="1265"/>
      <c r="B26" s="339" t="s">
        <v>637</v>
      </c>
      <c r="C26" s="340">
        <v>32</v>
      </c>
      <c r="D26" s="341">
        <v>524</v>
      </c>
      <c r="E26" s="342">
        <f>ROUND(D26*G2/C26,-1)</f>
        <v>2290</v>
      </c>
      <c r="F26" s="343">
        <v>73280</v>
      </c>
      <c r="G26" s="697" t="s">
        <v>422</v>
      </c>
      <c r="H26" s="562"/>
      <c r="I26" s="1266"/>
      <c r="J26" s="669" t="s">
        <v>637</v>
      </c>
      <c r="K26" s="566">
        <v>5005</v>
      </c>
      <c r="L26" s="566">
        <v>5534</v>
      </c>
      <c r="M26" s="670">
        <f t="shared" si="0"/>
        <v>529</v>
      </c>
      <c r="N26" s="562"/>
      <c r="O26" s="562"/>
      <c r="P26" s="562"/>
      <c r="Q26" s="562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695"/>
      <c r="AC26" s="695"/>
      <c r="AD26" s="695"/>
      <c r="AE26" s="696"/>
      <c r="AF26" s="696"/>
      <c r="AG26" s="694"/>
      <c r="AH26" s="694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</row>
    <row r="27" spans="1:64" s="661" customFormat="1" ht="15.75" customHeight="1">
      <c r="A27" s="1263">
        <v>210</v>
      </c>
      <c r="B27" s="339" t="s">
        <v>635</v>
      </c>
      <c r="C27" s="340">
        <v>32</v>
      </c>
      <c r="D27" s="341">
        <v>492</v>
      </c>
      <c r="E27" s="342">
        <f>ROUND(D27*G2/C27,-1)</f>
        <v>2150</v>
      </c>
      <c r="F27" s="343">
        <v>68800</v>
      </c>
      <c r="G27" s="697" t="s">
        <v>419</v>
      </c>
      <c r="H27" s="563">
        <v>42503</v>
      </c>
      <c r="I27" s="1266">
        <v>110</v>
      </c>
      <c r="J27" s="669" t="s">
        <v>635</v>
      </c>
      <c r="K27" s="566">
        <v>98564</v>
      </c>
      <c r="L27" s="566">
        <v>99020</v>
      </c>
      <c r="M27" s="670">
        <f t="shared" si="0"/>
        <v>456</v>
      </c>
      <c r="N27" s="562"/>
      <c r="O27" s="562"/>
      <c r="P27" s="562"/>
      <c r="Q27" s="562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695"/>
      <c r="AC27" s="695"/>
      <c r="AD27" s="695"/>
      <c r="AE27" s="696"/>
      <c r="AF27" s="696"/>
      <c r="AG27" s="694"/>
      <c r="AH27" s="694"/>
      <c r="AI27" s="561"/>
      <c r="AJ27" s="561"/>
      <c r="AK27" s="561"/>
      <c r="AL27" s="561"/>
      <c r="AM27" s="561"/>
      <c r="AN27" s="561"/>
      <c r="AO27" s="561"/>
      <c r="AP27" s="561"/>
      <c r="AQ27" s="561"/>
      <c r="AR27" s="561"/>
      <c r="AS27" s="561"/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</row>
    <row r="28" spans="1:64" s="661" customFormat="1" ht="15.75" customHeight="1">
      <c r="A28" s="1264"/>
      <c r="B28" s="339" t="s">
        <v>636</v>
      </c>
      <c r="C28" s="340">
        <v>30</v>
      </c>
      <c r="D28" s="341">
        <v>477</v>
      </c>
      <c r="E28" s="342">
        <f>ROUND(D28*G2/C28,-1)</f>
        <v>2230</v>
      </c>
      <c r="F28" s="343">
        <v>66900</v>
      </c>
      <c r="G28" s="697"/>
      <c r="H28" s="562"/>
      <c r="I28" s="1266"/>
      <c r="J28" s="669" t="s">
        <v>636</v>
      </c>
      <c r="K28" s="566">
        <v>356</v>
      </c>
      <c r="L28" s="566">
        <v>791</v>
      </c>
      <c r="M28" s="670">
        <f t="shared" si="0"/>
        <v>435</v>
      </c>
      <c r="N28" s="562"/>
      <c r="O28" s="562"/>
      <c r="P28" s="562"/>
      <c r="Q28" s="562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695"/>
      <c r="AC28" s="695"/>
      <c r="AD28" s="695"/>
      <c r="AE28" s="696"/>
      <c r="AF28" s="696"/>
      <c r="AG28" s="694"/>
      <c r="AH28" s="694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</row>
    <row r="29" spans="1:64" s="661" customFormat="1" ht="15.75" customHeight="1">
      <c r="A29" s="1265"/>
      <c r="B29" s="339" t="s">
        <v>637</v>
      </c>
      <c r="C29" s="340">
        <v>30</v>
      </c>
      <c r="D29" s="341">
        <v>475</v>
      </c>
      <c r="E29" s="342">
        <f>ROUND(D29*G2/C29,-1)</f>
        <v>2220</v>
      </c>
      <c r="F29" s="343">
        <v>66600</v>
      </c>
      <c r="G29" s="697"/>
      <c r="H29" s="562"/>
      <c r="I29" s="1266"/>
      <c r="J29" s="669" t="s">
        <v>637</v>
      </c>
      <c r="K29" s="566">
        <v>415</v>
      </c>
      <c r="L29" s="566">
        <v>851</v>
      </c>
      <c r="M29" s="670">
        <f t="shared" si="0"/>
        <v>436</v>
      </c>
      <c r="N29" s="562"/>
      <c r="O29" s="562"/>
      <c r="P29" s="562"/>
      <c r="Q29" s="562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695"/>
      <c r="AC29" s="695"/>
      <c r="AD29" s="695"/>
      <c r="AE29" s="696"/>
      <c r="AF29" s="696"/>
      <c r="AG29" s="694"/>
      <c r="AH29" s="694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</row>
    <row r="30" spans="1:64" s="661" customFormat="1" ht="15.75" customHeight="1">
      <c r="A30" s="1263">
        <v>211</v>
      </c>
      <c r="B30" s="339" t="s">
        <v>635</v>
      </c>
      <c r="C30" s="340">
        <v>30</v>
      </c>
      <c r="D30" s="341">
        <v>428</v>
      </c>
      <c r="E30" s="342">
        <f>ROUND(D30*G2/C30,-1)</f>
        <v>2000</v>
      </c>
      <c r="F30" s="343">
        <v>60000</v>
      </c>
      <c r="G30" s="697"/>
      <c r="H30" s="562"/>
      <c r="I30" s="1266">
        <v>111</v>
      </c>
      <c r="J30" s="669" t="s">
        <v>635</v>
      </c>
      <c r="K30" s="566">
        <v>92930</v>
      </c>
      <c r="L30" s="566">
        <v>93357</v>
      </c>
      <c r="M30" s="670">
        <f t="shared" si="0"/>
        <v>427</v>
      </c>
      <c r="N30" s="562"/>
      <c r="O30" s="562"/>
      <c r="P30" s="562"/>
      <c r="Q30" s="562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695"/>
      <c r="AC30" s="695"/>
      <c r="AD30" s="695"/>
      <c r="AE30" s="696"/>
      <c r="AF30" s="696"/>
      <c r="AG30" s="694"/>
      <c r="AH30" s="694"/>
      <c r="AI30" s="561"/>
      <c r="AJ30" s="561"/>
      <c r="AK30" s="561"/>
      <c r="AL30" s="561"/>
      <c r="AM30" s="561"/>
      <c r="AN30" s="561"/>
      <c r="AO30" s="561"/>
      <c r="AP30" s="561"/>
      <c r="AQ30" s="561"/>
      <c r="AR30" s="561"/>
      <c r="AS30" s="561"/>
      <c r="AT30" s="561"/>
      <c r="AU30" s="561"/>
      <c r="AV30" s="561"/>
      <c r="AW30" s="561"/>
      <c r="AX30" s="561"/>
      <c r="AY30" s="561"/>
      <c r="AZ30" s="561"/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</row>
    <row r="31" spans="1:64" s="661" customFormat="1" ht="15.75" customHeight="1">
      <c r="A31" s="1265"/>
      <c r="B31" s="339" t="s">
        <v>636</v>
      </c>
      <c r="C31" s="340">
        <v>32</v>
      </c>
      <c r="D31" s="341">
        <v>489</v>
      </c>
      <c r="E31" s="342">
        <f>ROUND(D31*G2/C31,-1)</f>
        <v>2140</v>
      </c>
      <c r="F31" s="343">
        <v>68480</v>
      </c>
      <c r="G31" s="697" t="s">
        <v>420</v>
      </c>
      <c r="H31" s="562"/>
      <c r="I31" s="1266"/>
      <c r="J31" s="669" t="s">
        <v>636</v>
      </c>
      <c r="K31" s="566">
        <v>93683</v>
      </c>
      <c r="L31" s="566">
        <v>94207</v>
      </c>
      <c r="M31" s="670">
        <f t="shared" si="0"/>
        <v>524</v>
      </c>
      <c r="N31" s="562"/>
      <c r="O31" s="562"/>
      <c r="P31" s="562"/>
      <c r="Q31" s="562"/>
      <c r="R31" s="565"/>
      <c r="S31" s="561"/>
      <c r="T31" s="561"/>
      <c r="U31" s="561"/>
      <c r="V31" s="561"/>
      <c r="W31" s="561"/>
      <c r="X31" s="561"/>
      <c r="Y31" s="671"/>
      <c r="Z31" s="671"/>
      <c r="AA31" s="671"/>
      <c r="AB31" s="696"/>
      <c r="AC31" s="696"/>
      <c r="AD31" s="694"/>
      <c r="AE31" s="694"/>
      <c r="AF31" s="694"/>
      <c r="AG31" s="694"/>
      <c r="AH31" s="694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561"/>
      <c r="AV31" s="561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</row>
    <row r="32" spans="1:64" s="661" customFormat="1" ht="15.75" customHeight="1">
      <c r="A32" s="1263">
        <v>212</v>
      </c>
      <c r="B32" s="339" t="s">
        <v>635</v>
      </c>
      <c r="C32" s="340">
        <v>34</v>
      </c>
      <c r="D32" s="341">
        <v>550</v>
      </c>
      <c r="E32" s="342">
        <f>ROUND(D32*G2/C32,-1)</f>
        <v>2260</v>
      </c>
      <c r="F32" s="343">
        <v>76840</v>
      </c>
      <c r="G32" s="697" t="s">
        <v>423</v>
      </c>
      <c r="H32" s="562"/>
      <c r="I32" s="1266">
        <v>112</v>
      </c>
      <c r="J32" s="669" t="s">
        <v>635</v>
      </c>
      <c r="K32" s="566">
        <v>11480</v>
      </c>
      <c r="L32" s="566">
        <v>12041</v>
      </c>
      <c r="M32" s="670">
        <f t="shared" si="0"/>
        <v>561</v>
      </c>
      <c r="N32" s="562"/>
      <c r="O32" s="562"/>
      <c r="P32" s="562"/>
      <c r="Q32" s="562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695"/>
      <c r="AC32" s="695"/>
      <c r="AD32" s="695"/>
      <c r="AE32" s="696"/>
      <c r="AF32" s="696"/>
      <c r="AG32" s="694"/>
      <c r="AH32" s="694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561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</row>
    <row r="33" spans="1:64" s="661" customFormat="1" ht="15.75" customHeight="1">
      <c r="A33" s="1264"/>
      <c r="B33" s="339" t="s">
        <v>636</v>
      </c>
      <c r="C33" s="340">
        <v>34</v>
      </c>
      <c r="D33" s="341">
        <v>497</v>
      </c>
      <c r="E33" s="342">
        <f>ROUND(D33*G2/C33,-1)</f>
        <v>2050</v>
      </c>
      <c r="F33" s="343">
        <v>69700</v>
      </c>
      <c r="G33" s="697" t="s">
        <v>423</v>
      </c>
      <c r="H33" s="562"/>
      <c r="I33" s="1266"/>
      <c r="J33" s="669" t="s">
        <v>636</v>
      </c>
      <c r="K33" s="566">
        <v>6233</v>
      </c>
      <c r="L33" s="566">
        <v>6755</v>
      </c>
      <c r="M33" s="670">
        <f t="shared" si="0"/>
        <v>522</v>
      </c>
      <c r="N33" s="562"/>
      <c r="O33" s="562"/>
      <c r="P33" s="562"/>
      <c r="Q33" s="562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695"/>
      <c r="AC33" s="695"/>
      <c r="AD33" s="695"/>
      <c r="AE33" s="696"/>
      <c r="AF33" s="696"/>
      <c r="AG33" s="694"/>
      <c r="AH33" s="694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</row>
    <row r="34" spans="1:64" s="661" customFormat="1" ht="15.75" customHeight="1">
      <c r="A34" s="1265"/>
      <c r="B34" s="339" t="s">
        <v>637</v>
      </c>
      <c r="C34" s="340">
        <v>34</v>
      </c>
      <c r="D34" s="341">
        <v>538</v>
      </c>
      <c r="E34" s="342">
        <f>ROUND(D34*G2/C34,-1)</f>
        <v>2220</v>
      </c>
      <c r="F34" s="343">
        <v>75480</v>
      </c>
      <c r="G34" s="697" t="s">
        <v>423</v>
      </c>
      <c r="H34" s="562"/>
      <c r="I34" s="1266"/>
      <c r="J34" s="669" t="s">
        <v>637</v>
      </c>
      <c r="K34" s="566">
        <v>15225</v>
      </c>
      <c r="L34" s="566">
        <v>15784</v>
      </c>
      <c r="M34" s="670">
        <f t="shared" si="0"/>
        <v>559</v>
      </c>
      <c r="N34" s="562"/>
      <c r="O34" s="562"/>
      <c r="P34" s="562"/>
      <c r="Q34" s="562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695"/>
      <c r="AC34" s="695"/>
      <c r="AD34" s="695"/>
      <c r="AE34" s="696"/>
      <c r="AF34" s="696"/>
      <c r="AG34" s="694"/>
      <c r="AH34" s="694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</row>
    <row r="35" spans="1:64" s="661" customFormat="1" ht="15.75" customHeight="1">
      <c r="A35" s="1263">
        <v>213</v>
      </c>
      <c r="B35" s="339" t="s">
        <v>635</v>
      </c>
      <c r="C35" s="340">
        <v>32</v>
      </c>
      <c r="D35" s="341">
        <v>487</v>
      </c>
      <c r="E35" s="342">
        <f>ROUND(D35*G2/C35,-1)</f>
        <v>2130</v>
      </c>
      <c r="F35" s="343">
        <v>68160</v>
      </c>
      <c r="G35" s="697" t="s">
        <v>420</v>
      </c>
      <c r="H35" s="562"/>
      <c r="I35" s="1266">
        <v>113</v>
      </c>
      <c r="J35" s="669" t="s">
        <v>635</v>
      </c>
      <c r="K35" s="566">
        <v>99912</v>
      </c>
      <c r="L35" s="566">
        <v>423</v>
      </c>
      <c r="M35" s="670">
        <f>(100000-K35)+L35</f>
        <v>511</v>
      </c>
      <c r="N35" s="562"/>
      <c r="O35" s="670"/>
      <c r="P35" s="670"/>
      <c r="Q35" s="562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695"/>
      <c r="AC35" s="695"/>
      <c r="AD35" s="695"/>
      <c r="AE35" s="696"/>
      <c r="AF35" s="696"/>
      <c r="AG35" s="694"/>
      <c r="AH35" s="694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  <c r="BK35" s="561"/>
      <c r="BL35" s="561"/>
    </row>
    <row r="36" spans="1:64" s="661" customFormat="1" ht="15.75" customHeight="1">
      <c r="A36" s="1265"/>
      <c r="B36" s="339" t="s">
        <v>636</v>
      </c>
      <c r="C36" s="340">
        <v>32</v>
      </c>
      <c r="D36" s="341">
        <v>472</v>
      </c>
      <c r="E36" s="342">
        <f>ROUND(D36*G2/C36,-1)</f>
        <v>2070</v>
      </c>
      <c r="F36" s="343">
        <v>66240</v>
      </c>
      <c r="G36" s="697" t="s">
        <v>420</v>
      </c>
      <c r="H36" s="563">
        <v>42481</v>
      </c>
      <c r="I36" s="1266"/>
      <c r="J36" s="669" t="s">
        <v>636</v>
      </c>
      <c r="K36" s="566">
        <v>97998</v>
      </c>
      <c r="L36" s="566">
        <v>98485</v>
      </c>
      <c r="M36" s="670">
        <f t="shared" si="0"/>
        <v>487</v>
      </c>
      <c r="N36" s="562"/>
      <c r="O36" s="562"/>
      <c r="P36" s="562"/>
      <c r="Q36" s="562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695"/>
      <c r="AC36" s="695"/>
      <c r="AD36" s="695"/>
      <c r="AE36" s="696"/>
      <c r="AF36" s="696"/>
      <c r="AG36" s="694"/>
      <c r="AH36" s="694"/>
      <c r="AI36" s="561"/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  <c r="AW36" s="561"/>
      <c r="AX36" s="561"/>
      <c r="AY36" s="561"/>
      <c r="AZ36" s="561"/>
      <c r="BA36" s="561"/>
      <c r="BB36" s="561"/>
      <c r="BC36" s="561"/>
      <c r="BD36" s="561"/>
      <c r="BE36" s="561"/>
      <c r="BF36" s="561"/>
      <c r="BG36" s="561"/>
      <c r="BH36" s="561"/>
      <c r="BI36" s="561"/>
      <c r="BJ36" s="561"/>
      <c r="BK36" s="561"/>
      <c r="BL36" s="561"/>
    </row>
    <row r="37" spans="1:64" s="661" customFormat="1" ht="15.75" customHeight="1">
      <c r="A37" s="1263">
        <v>214</v>
      </c>
      <c r="B37" s="339" t="s">
        <v>635</v>
      </c>
      <c r="C37" s="340">
        <v>24</v>
      </c>
      <c r="D37" s="341">
        <v>348</v>
      </c>
      <c r="E37" s="342">
        <f>ROUND(D37*G2/C37,-1)</f>
        <v>2030</v>
      </c>
      <c r="F37" s="343">
        <v>48720</v>
      </c>
      <c r="G37" s="697" t="s">
        <v>420</v>
      </c>
      <c r="H37" s="562"/>
      <c r="I37" s="1266">
        <v>114</v>
      </c>
      <c r="J37" s="669" t="s">
        <v>635</v>
      </c>
      <c r="K37" s="566">
        <v>82419</v>
      </c>
      <c r="L37" s="566">
        <v>82782</v>
      </c>
      <c r="M37" s="670">
        <f t="shared" si="0"/>
        <v>363</v>
      </c>
      <c r="N37" s="562"/>
      <c r="O37" s="562"/>
      <c r="P37" s="562"/>
      <c r="Q37" s="562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695"/>
      <c r="AC37" s="695"/>
      <c r="AD37" s="695"/>
      <c r="AE37" s="696"/>
      <c r="AF37" s="696"/>
      <c r="AG37" s="694"/>
      <c r="AH37" s="694"/>
      <c r="AI37" s="561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</row>
    <row r="38" spans="1:64" s="661" customFormat="1" ht="15.75" customHeight="1">
      <c r="A38" s="1265"/>
      <c r="B38" s="339" t="s">
        <v>636</v>
      </c>
      <c r="C38" s="340">
        <v>32</v>
      </c>
      <c r="D38" s="341">
        <v>421</v>
      </c>
      <c r="E38" s="342">
        <f>ROUND(D38*G2/C38,-1)</f>
        <v>1840</v>
      </c>
      <c r="F38" s="343">
        <v>58880</v>
      </c>
      <c r="G38" s="697" t="s">
        <v>420</v>
      </c>
      <c r="H38" s="562"/>
      <c r="I38" s="1266"/>
      <c r="J38" s="669" t="s">
        <v>636</v>
      </c>
      <c r="K38" s="566">
        <v>88850</v>
      </c>
      <c r="L38" s="566">
        <v>89301</v>
      </c>
      <c r="M38" s="670">
        <f t="shared" si="0"/>
        <v>451</v>
      </c>
      <c r="N38" s="562"/>
      <c r="O38" s="562"/>
      <c r="P38" s="562"/>
      <c r="Q38" s="562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695"/>
      <c r="AC38" s="695"/>
      <c r="AD38" s="695"/>
      <c r="AE38" s="696"/>
      <c r="AF38" s="696"/>
      <c r="AG38" s="694"/>
      <c r="AH38" s="694"/>
      <c r="AI38" s="561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1"/>
      <c r="BG38" s="561"/>
      <c r="BH38" s="561"/>
      <c r="BI38" s="561"/>
      <c r="BJ38" s="561"/>
      <c r="BK38" s="561"/>
      <c r="BL38" s="561"/>
    </row>
    <row r="39" spans="1:64" s="661" customFormat="1" ht="15.75" customHeight="1">
      <c r="A39" s="1263">
        <v>215</v>
      </c>
      <c r="B39" s="339" t="s">
        <v>635</v>
      </c>
      <c r="C39" s="340">
        <v>30</v>
      </c>
      <c r="D39" s="341">
        <v>491</v>
      </c>
      <c r="E39" s="342">
        <f>ROUND(D39*G2/C39,-1)</f>
        <v>2290</v>
      </c>
      <c r="F39" s="343">
        <v>68700</v>
      </c>
      <c r="G39" s="697"/>
      <c r="H39" s="562"/>
      <c r="I39" s="1266">
        <v>115</v>
      </c>
      <c r="J39" s="669" t="s">
        <v>635</v>
      </c>
      <c r="K39" s="566">
        <v>2586</v>
      </c>
      <c r="L39" s="566">
        <v>3039</v>
      </c>
      <c r="M39" s="670">
        <f t="shared" si="0"/>
        <v>453</v>
      </c>
      <c r="N39" s="562"/>
      <c r="O39" s="562"/>
      <c r="P39" s="562"/>
      <c r="Q39" s="562"/>
      <c r="R39" s="561"/>
      <c r="S39" s="561"/>
      <c r="T39" s="561"/>
      <c r="U39" s="561"/>
      <c r="V39" s="561"/>
      <c r="W39" s="561"/>
      <c r="X39" s="561"/>
      <c r="Y39" s="561"/>
      <c r="Z39" s="671"/>
      <c r="AA39" s="671"/>
      <c r="AB39" s="695"/>
      <c r="AC39" s="696"/>
      <c r="AD39" s="696"/>
      <c r="AE39" s="694"/>
      <c r="AF39" s="694"/>
      <c r="AG39" s="694"/>
      <c r="AH39" s="694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</row>
    <row r="40" spans="1:64" s="661" customFormat="1" ht="15.75" customHeight="1">
      <c r="A40" s="1264"/>
      <c r="B40" s="339" t="s">
        <v>636</v>
      </c>
      <c r="C40" s="340">
        <v>32</v>
      </c>
      <c r="D40" s="341">
        <v>467</v>
      </c>
      <c r="E40" s="342">
        <f>ROUND(D40*G2/C40,-1)</f>
        <v>2040</v>
      </c>
      <c r="F40" s="343">
        <v>65280</v>
      </c>
      <c r="G40" s="697" t="s">
        <v>640</v>
      </c>
      <c r="H40" s="562"/>
      <c r="I40" s="1266"/>
      <c r="J40" s="669" t="s">
        <v>636</v>
      </c>
      <c r="K40" s="566">
        <v>292</v>
      </c>
      <c r="L40" s="566">
        <v>758</v>
      </c>
      <c r="M40" s="670">
        <f t="shared" si="0"/>
        <v>466</v>
      </c>
      <c r="N40" s="562"/>
      <c r="O40" s="562"/>
      <c r="P40" s="562"/>
      <c r="Q40" s="562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695"/>
      <c r="AC40" s="695"/>
      <c r="AD40" s="695"/>
      <c r="AE40" s="696"/>
      <c r="AF40" s="696"/>
      <c r="AG40" s="694"/>
      <c r="AH40" s="694"/>
      <c r="AI40" s="561"/>
      <c r="AJ40" s="561"/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561"/>
      <c r="AV40" s="561"/>
      <c r="AW40" s="561"/>
      <c r="AX40" s="561"/>
      <c r="AY40" s="561"/>
      <c r="AZ40" s="561"/>
      <c r="BA40" s="561"/>
      <c r="BB40" s="561"/>
      <c r="BC40" s="561"/>
      <c r="BD40" s="561"/>
      <c r="BE40" s="561"/>
      <c r="BF40" s="561"/>
      <c r="BG40" s="561"/>
      <c r="BH40" s="561"/>
      <c r="BI40" s="561"/>
      <c r="BJ40" s="561"/>
      <c r="BK40" s="561"/>
      <c r="BL40" s="561"/>
    </row>
    <row r="41" spans="1:64" s="661" customFormat="1" ht="15.75" customHeight="1">
      <c r="A41" s="1265"/>
      <c r="B41" s="339" t="s">
        <v>637</v>
      </c>
      <c r="C41" s="340">
        <v>30</v>
      </c>
      <c r="D41" s="341">
        <v>468</v>
      </c>
      <c r="E41" s="342">
        <f>ROUND(D41*G2/C41,-1)</f>
        <v>2180</v>
      </c>
      <c r="F41" s="343">
        <v>65400</v>
      </c>
      <c r="G41" s="697" t="s">
        <v>0</v>
      </c>
      <c r="H41" s="562"/>
      <c r="I41" s="1266"/>
      <c r="J41" s="669" t="s">
        <v>637</v>
      </c>
      <c r="K41" s="566">
        <v>1738</v>
      </c>
      <c r="L41" s="566">
        <v>2173</v>
      </c>
      <c r="M41" s="670">
        <f t="shared" si="0"/>
        <v>435</v>
      </c>
      <c r="N41" s="562"/>
      <c r="O41" s="562"/>
      <c r="P41" s="562"/>
      <c r="Q41" s="562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695"/>
      <c r="AC41" s="695"/>
      <c r="AD41" s="695"/>
      <c r="AE41" s="696"/>
      <c r="AF41" s="696"/>
      <c r="AG41" s="694"/>
      <c r="AH41" s="694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  <c r="AV41" s="561"/>
      <c r="AW41" s="561"/>
      <c r="AX41" s="561"/>
      <c r="AY41" s="561"/>
      <c r="AZ41" s="561"/>
      <c r="BA41" s="561"/>
      <c r="BB41" s="561"/>
      <c r="BC41" s="561"/>
      <c r="BD41" s="561"/>
      <c r="BE41" s="561"/>
      <c r="BF41" s="561"/>
      <c r="BG41" s="561"/>
      <c r="BH41" s="561"/>
      <c r="BI41" s="561"/>
      <c r="BJ41" s="561"/>
      <c r="BK41" s="561"/>
      <c r="BL41" s="561"/>
    </row>
    <row r="42" spans="1:64" s="661" customFormat="1" ht="15.75" customHeight="1">
      <c r="A42" s="1263">
        <v>216</v>
      </c>
      <c r="B42" s="339" t="s">
        <v>635</v>
      </c>
      <c r="C42" s="340">
        <v>30</v>
      </c>
      <c r="D42" s="341">
        <v>400</v>
      </c>
      <c r="E42" s="342">
        <f>ROUND(D42*G2/C42,-1)</f>
        <v>1870</v>
      </c>
      <c r="F42" s="343">
        <v>56100</v>
      </c>
      <c r="G42" s="697"/>
      <c r="H42" s="562"/>
      <c r="I42" s="1266">
        <v>116</v>
      </c>
      <c r="J42" s="669" t="s">
        <v>635</v>
      </c>
      <c r="K42" s="566">
        <v>86938</v>
      </c>
      <c r="L42" s="566">
        <v>87301</v>
      </c>
      <c r="M42" s="670">
        <f t="shared" si="0"/>
        <v>363</v>
      </c>
      <c r="N42" s="562"/>
      <c r="O42" s="562"/>
      <c r="P42" s="562"/>
      <c r="Q42" s="562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695"/>
      <c r="AC42" s="695"/>
      <c r="AD42" s="695"/>
      <c r="AE42" s="696"/>
      <c r="AF42" s="696"/>
      <c r="AG42" s="694"/>
      <c r="AH42" s="694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1"/>
      <c r="BE42" s="561"/>
      <c r="BF42" s="561"/>
      <c r="BG42" s="561"/>
      <c r="BH42" s="561"/>
      <c r="BI42" s="561"/>
      <c r="BJ42" s="561"/>
      <c r="BK42" s="561"/>
      <c r="BL42" s="561"/>
    </row>
    <row r="43" spans="1:64" s="661" customFormat="1" ht="15.75" customHeight="1">
      <c r="A43" s="1264"/>
      <c r="B43" s="339" t="s">
        <v>636</v>
      </c>
      <c r="C43" s="340">
        <v>30</v>
      </c>
      <c r="D43" s="341">
        <v>475</v>
      </c>
      <c r="E43" s="342">
        <f>ROUND(D43*G2/C43,-1)</f>
        <v>2220</v>
      </c>
      <c r="F43" s="343">
        <v>66600</v>
      </c>
      <c r="G43" s="697"/>
      <c r="H43" s="562"/>
      <c r="I43" s="1266"/>
      <c r="J43" s="669" t="s">
        <v>636</v>
      </c>
      <c r="K43" s="566">
        <v>90525</v>
      </c>
      <c r="L43" s="566">
        <v>90953</v>
      </c>
      <c r="M43" s="670">
        <f t="shared" si="0"/>
        <v>428</v>
      </c>
      <c r="N43" s="562"/>
      <c r="O43" s="562"/>
      <c r="P43" s="562"/>
      <c r="Q43" s="562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695"/>
      <c r="AC43" s="695"/>
      <c r="AD43" s="695"/>
      <c r="AE43" s="696"/>
      <c r="AF43" s="696"/>
      <c r="AG43" s="694"/>
      <c r="AH43" s="694"/>
      <c r="AI43" s="561"/>
      <c r="AJ43" s="561"/>
      <c r="AK43" s="561"/>
      <c r="AL43" s="561"/>
      <c r="AM43" s="561"/>
      <c r="AN43" s="561"/>
      <c r="AO43" s="561"/>
      <c r="AP43" s="561"/>
      <c r="AQ43" s="561"/>
      <c r="AR43" s="561"/>
      <c r="AS43" s="561"/>
      <c r="AT43" s="561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1"/>
      <c r="BG43" s="561"/>
      <c r="BH43" s="561"/>
      <c r="BI43" s="561"/>
      <c r="BJ43" s="561"/>
      <c r="BK43" s="561"/>
      <c r="BL43" s="561"/>
    </row>
    <row r="44" spans="1:64" s="661" customFormat="1" ht="15.75" customHeight="1">
      <c r="A44" s="1265"/>
      <c r="B44" s="339" t="s">
        <v>637</v>
      </c>
      <c r="C44" s="340">
        <v>30</v>
      </c>
      <c r="D44" s="341">
        <v>393</v>
      </c>
      <c r="E44" s="342">
        <f>ROUND(D44*G2/C44,-1)</f>
        <v>1830</v>
      </c>
      <c r="F44" s="343">
        <v>54900</v>
      </c>
      <c r="G44" s="697"/>
      <c r="H44" s="562"/>
      <c r="I44" s="1266"/>
      <c r="J44" s="669" t="s">
        <v>637</v>
      </c>
      <c r="K44" s="566">
        <v>85371</v>
      </c>
      <c r="L44" s="566">
        <v>85724</v>
      </c>
      <c r="M44" s="670">
        <f t="shared" si="0"/>
        <v>353</v>
      </c>
      <c r="N44" s="562"/>
      <c r="O44" s="562"/>
      <c r="P44" s="562"/>
      <c r="Q44" s="562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695"/>
      <c r="AC44" s="695"/>
      <c r="AD44" s="695"/>
      <c r="AE44" s="696"/>
      <c r="AF44" s="696"/>
      <c r="AG44" s="694"/>
      <c r="AH44" s="694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</row>
    <row r="45" spans="1:64" s="661" customFormat="1" ht="15.75" customHeight="1">
      <c r="A45" s="1263">
        <v>217</v>
      </c>
      <c r="B45" s="339" t="s">
        <v>635</v>
      </c>
      <c r="C45" s="340">
        <v>30</v>
      </c>
      <c r="D45" s="341">
        <v>464</v>
      </c>
      <c r="E45" s="342">
        <f>ROUND(D45*G2/C45,-1)</f>
        <v>2170</v>
      </c>
      <c r="F45" s="343">
        <v>65100</v>
      </c>
      <c r="G45" s="697" t="s">
        <v>0</v>
      </c>
      <c r="H45" s="562"/>
      <c r="I45" s="1266">
        <v>117</v>
      </c>
      <c r="J45" s="669" t="s">
        <v>635</v>
      </c>
      <c r="K45" s="566">
        <v>98833</v>
      </c>
      <c r="L45" s="566">
        <v>99333</v>
      </c>
      <c r="M45" s="670">
        <f t="shared" si="0"/>
        <v>500</v>
      </c>
      <c r="N45" s="562"/>
      <c r="O45" s="562"/>
      <c r="P45" s="562"/>
      <c r="Q45" s="562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695"/>
      <c r="AC45" s="695"/>
      <c r="AD45" s="695"/>
      <c r="AE45" s="696"/>
      <c r="AF45" s="696"/>
      <c r="AG45" s="694"/>
      <c r="AH45" s="694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</row>
    <row r="46" spans="1:64" s="661" customFormat="1" ht="15.75" customHeight="1">
      <c r="A46" s="1265"/>
      <c r="B46" s="339" t="s">
        <v>636</v>
      </c>
      <c r="C46" s="340">
        <v>32</v>
      </c>
      <c r="D46" s="341">
        <v>409</v>
      </c>
      <c r="E46" s="342">
        <f>ROUND(D46*G2/C46,-1)</f>
        <v>1790</v>
      </c>
      <c r="F46" s="343">
        <v>57280</v>
      </c>
      <c r="G46" s="697" t="s">
        <v>420</v>
      </c>
      <c r="H46" s="562"/>
      <c r="I46" s="1266"/>
      <c r="J46" s="669" t="s">
        <v>636</v>
      </c>
      <c r="K46" s="566">
        <v>93678</v>
      </c>
      <c r="L46" s="566">
        <v>94122</v>
      </c>
      <c r="M46" s="670">
        <f t="shared" si="0"/>
        <v>444</v>
      </c>
      <c r="N46" s="562"/>
      <c r="O46" s="562"/>
      <c r="P46" s="562"/>
      <c r="Q46" s="562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695"/>
      <c r="AC46" s="695"/>
      <c r="AD46" s="695"/>
      <c r="AE46" s="696"/>
      <c r="AF46" s="696"/>
      <c r="AG46" s="694"/>
      <c r="AH46" s="694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</row>
    <row r="47" spans="1:64" s="661" customFormat="1" ht="15.75" customHeight="1">
      <c r="A47" s="1263">
        <v>218</v>
      </c>
      <c r="B47" s="339" t="s">
        <v>635</v>
      </c>
      <c r="C47" s="340">
        <v>30</v>
      </c>
      <c r="D47" s="341">
        <v>419</v>
      </c>
      <c r="E47" s="342">
        <f>ROUND(D47*G2/C47,-1)</f>
        <v>1960</v>
      </c>
      <c r="F47" s="343">
        <v>58800</v>
      </c>
      <c r="G47" s="697"/>
      <c r="H47" s="562"/>
      <c r="I47" s="1266">
        <v>118</v>
      </c>
      <c r="J47" s="669" t="s">
        <v>635</v>
      </c>
      <c r="K47" s="566">
        <v>91915</v>
      </c>
      <c r="L47" s="566">
        <v>92323</v>
      </c>
      <c r="M47" s="670">
        <f t="shared" si="0"/>
        <v>408</v>
      </c>
      <c r="N47" s="562"/>
      <c r="O47" s="562"/>
      <c r="P47" s="562"/>
      <c r="Q47" s="562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695"/>
      <c r="AC47" s="695"/>
      <c r="AD47" s="695"/>
      <c r="AE47" s="696"/>
      <c r="AF47" s="696"/>
      <c r="AG47" s="694"/>
      <c r="AH47" s="694"/>
      <c r="AI47" s="561"/>
      <c r="AJ47" s="561"/>
      <c r="AK47" s="561"/>
      <c r="AL47" s="561"/>
      <c r="AM47" s="561"/>
      <c r="AN47" s="561"/>
      <c r="AO47" s="561"/>
      <c r="AP47" s="561"/>
      <c r="AQ47" s="561"/>
      <c r="AR47" s="561"/>
      <c r="AS47" s="561"/>
      <c r="AT47" s="561"/>
      <c r="AU47" s="561"/>
      <c r="AV47" s="561"/>
      <c r="AW47" s="561"/>
      <c r="AX47" s="561"/>
      <c r="AY47" s="561"/>
      <c r="AZ47" s="561"/>
      <c r="BA47" s="561"/>
      <c r="BB47" s="561"/>
      <c r="BC47" s="561"/>
      <c r="BD47" s="561"/>
      <c r="BE47" s="561"/>
      <c r="BF47" s="561"/>
      <c r="BG47" s="561"/>
      <c r="BH47" s="561"/>
      <c r="BI47" s="561"/>
      <c r="BJ47" s="561"/>
      <c r="BK47" s="561"/>
      <c r="BL47" s="561"/>
    </row>
    <row r="48" spans="1:64" s="661" customFormat="1" ht="15.75" customHeight="1">
      <c r="A48" s="1264"/>
      <c r="B48" s="339" t="s">
        <v>636</v>
      </c>
      <c r="C48" s="340">
        <v>32</v>
      </c>
      <c r="D48" s="341">
        <v>359</v>
      </c>
      <c r="E48" s="342">
        <f>ROUND(D48*G2/C48,-1)</f>
        <v>1570</v>
      </c>
      <c r="F48" s="343">
        <v>50240</v>
      </c>
      <c r="G48" s="697">
        <v>204</v>
      </c>
      <c r="H48" s="562"/>
      <c r="I48" s="1266"/>
      <c r="J48" s="669" t="s">
        <v>636</v>
      </c>
      <c r="K48" s="566">
        <v>83865</v>
      </c>
      <c r="L48" s="566">
        <v>84247</v>
      </c>
      <c r="M48" s="670">
        <f t="shared" si="0"/>
        <v>382</v>
      </c>
      <c r="N48" s="562"/>
      <c r="O48" s="562"/>
      <c r="P48" s="562"/>
      <c r="Q48" s="562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695"/>
      <c r="AC48" s="695"/>
      <c r="AD48" s="695"/>
      <c r="AE48" s="696"/>
      <c r="AF48" s="696"/>
      <c r="AG48" s="694"/>
      <c r="AH48" s="694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</row>
    <row r="49" spans="1:64" s="661" customFormat="1" ht="15.75" customHeight="1">
      <c r="A49" s="1265"/>
      <c r="B49" s="339" t="s">
        <v>637</v>
      </c>
      <c r="C49" s="340">
        <v>18</v>
      </c>
      <c r="D49" s="341">
        <v>219</v>
      </c>
      <c r="E49" s="342">
        <f>ROUND(D49*G2/C49,-1)</f>
        <v>1700</v>
      </c>
      <c r="F49" s="343">
        <v>30600</v>
      </c>
      <c r="G49" s="697" t="s">
        <v>420</v>
      </c>
      <c r="H49" s="562"/>
      <c r="I49" s="1266"/>
      <c r="J49" s="669" t="s">
        <v>637</v>
      </c>
      <c r="K49" s="566">
        <v>51542</v>
      </c>
      <c r="L49" s="566">
        <v>51774</v>
      </c>
      <c r="M49" s="670">
        <f t="shared" si="0"/>
        <v>232</v>
      </c>
      <c r="N49" s="562"/>
      <c r="O49" s="562"/>
      <c r="P49" s="562"/>
      <c r="Q49" s="562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695"/>
      <c r="AC49" s="695"/>
      <c r="AD49" s="695"/>
      <c r="AE49" s="696"/>
      <c r="AF49" s="696"/>
      <c r="AG49" s="694"/>
      <c r="AH49" s="694"/>
      <c r="AI49" s="561"/>
      <c r="AJ49" s="561"/>
      <c r="AK49" s="561"/>
      <c r="AL49" s="561"/>
      <c r="AM49" s="561"/>
      <c r="AN49" s="561"/>
      <c r="AO49" s="561"/>
      <c r="AP49" s="561"/>
      <c r="AQ49" s="561"/>
      <c r="AR49" s="561"/>
      <c r="AS49" s="561"/>
      <c r="AT49" s="561"/>
      <c r="AU49" s="561"/>
      <c r="AV49" s="561"/>
      <c r="AW49" s="561"/>
      <c r="AX49" s="561"/>
      <c r="AY49" s="561"/>
      <c r="AZ49" s="561"/>
      <c r="BA49" s="561"/>
      <c r="BB49" s="561"/>
      <c r="BC49" s="561"/>
      <c r="BD49" s="561"/>
      <c r="BE49" s="561"/>
      <c r="BF49" s="561"/>
      <c r="BG49" s="561"/>
      <c r="BH49" s="561"/>
      <c r="BI49" s="561"/>
      <c r="BJ49" s="561"/>
      <c r="BK49" s="561"/>
      <c r="BL49" s="561"/>
    </row>
    <row r="50" spans="1:64" s="661" customFormat="1" ht="15.75" customHeight="1">
      <c r="A50" s="684" t="s">
        <v>641</v>
      </c>
      <c r="B50" s="687"/>
      <c r="C50" s="688">
        <f>SUM(C4:C49)</f>
        <v>1386</v>
      </c>
      <c r="D50" s="689">
        <f>SUM(D4:D49)</f>
        <v>20099</v>
      </c>
      <c r="E50" s="686"/>
      <c r="F50" s="690">
        <f>SUM(F4:F49)</f>
        <v>2814620</v>
      </c>
      <c r="G50" s="698" t="s">
        <v>0</v>
      </c>
      <c r="H50" s="564"/>
      <c r="I50" s="672" t="s">
        <v>641</v>
      </c>
      <c r="J50" s="673"/>
      <c r="K50" s="674"/>
      <c r="L50" s="674"/>
      <c r="M50" s="670">
        <f>SUM(M4:M49)</f>
        <v>19810</v>
      </c>
      <c r="N50" s="562"/>
      <c r="O50" s="562"/>
      <c r="P50" s="562"/>
      <c r="Q50" s="562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695"/>
      <c r="AC50" s="695"/>
      <c r="AD50" s="695"/>
      <c r="AE50" s="696"/>
      <c r="AF50" s="696"/>
      <c r="AG50" s="694"/>
      <c r="AH50" s="694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</row>
    <row r="51" spans="1:64" s="661" customFormat="1" ht="15.75" customHeight="1">
      <c r="A51" s="662" t="s">
        <v>642</v>
      </c>
      <c r="B51" s="662"/>
      <c r="C51" s="662"/>
      <c r="D51" s="662"/>
      <c r="E51" s="662"/>
      <c r="F51" s="662"/>
      <c r="G51" s="662"/>
      <c r="H51" s="565"/>
      <c r="I51" s="565"/>
      <c r="J51" s="675"/>
      <c r="K51" s="676"/>
      <c r="L51" s="676"/>
      <c r="M51" s="676"/>
      <c r="N51" s="676"/>
      <c r="O51" s="676"/>
      <c r="P51" s="676"/>
      <c r="Q51" s="676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695"/>
      <c r="AC51" s="695"/>
      <c r="AD51" s="695"/>
      <c r="AE51" s="696"/>
      <c r="AF51" s="696"/>
      <c r="AG51" s="694"/>
      <c r="AH51" s="694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</row>
    <row r="52" spans="1:64" ht="15.75" customHeight="1">
      <c r="B52" s="662"/>
      <c r="C52" s="662"/>
      <c r="D52" s="662"/>
      <c r="E52" s="691"/>
      <c r="F52" s="662"/>
    </row>
    <row r="53" spans="1:64" ht="15.75" customHeight="1">
      <c r="B53" s="677"/>
      <c r="F53" s="677"/>
    </row>
    <row r="54" spans="1:64" ht="15.75" customHeight="1">
      <c r="B54" s="677"/>
      <c r="F54" s="677"/>
    </row>
    <row r="55" spans="1:64" ht="15.75" customHeight="1">
      <c r="B55" s="677"/>
      <c r="F55" s="692"/>
    </row>
    <row r="56" spans="1:64" ht="15.75" customHeight="1">
      <c r="B56" s="677"/>
      <c r="F56" s="677"/>
    </row>
    <row r="57" spans="1:64" ht="15.75" customHeight="1">
      <c r="B57" s="677"/>
      <c r="F57" s="677"/>
    </row>
    <row r="58" spans="1:64" ht="15.75" customHeight="1">
      <c r="B58" s="677"/>
      <c r="F58" s="677"/>
    </row>
    <row r="59" spans="1:64" ht="15.75" customHeight="1">
      <c r="B59" s="677"/>
      <c r="F59" s="677"/>
    </row>
    <row r="60" spans="1:64" ht="15.75" customHeight="1">
      <c r="B60" s="677"/>
      <c r="F60" s="677"/>
    </row>
    <row r="61" spans="1:64" ht="15.75" customHeight="1">
      <c r="B61" s="677"/>
      <c r="F61" s="677"/>
    </row>
    <row r="62" spans="1:64" ht="15.75" customHeight="1">
      <c r="B62" s="677"/>
      <c r="F62" s="677"/>
    </row>
    <row r="63" spans="1:64" ht="15.75" customHeight="1">
      <c r="B63" s="677"/>
      <c r="F63" s="677"/>
    </row>
    <row r="64" spans="1:64" ht="15.75" customHeight="1">
      <c r="B64" s="677"/>
      <c r="F64" s="677"/>
    </row>
    <row r="65" spans="2:6" ht="15.75" customHeight="1">
      <c r="B65" s="677"/>
      <c r="F65" s="677"/>
    </row>
    <row r="66" spans="2:6" ht="15.75" customHeight="1">
      <c r="B66" s="677"/>
      <c r="F66" s="677"/>
    </row>
    <row r="67" spans="2:6" ht="15.75" customHeight="1">
      <c r="B67" s="677"/>
      <c r="F67" s="677"/>
    </row>
    <row r="68" spans="2:6" ht="15.75" customHeight="1">
      <c r="B68" s="677"/>
      <c r="F68" s="677"/>
    </row>
    <row r="69" spans="2:6" ht="15.75" customHeight="1">
      <c r="B69" s="677"/>
      <c r="F69" s="677"/>
    </row>
    <row r="70" spans="2:6" ht="15.75" customHeight="1">
      <c r="B70" s="677"/>
      <c r="F70" s="677"/>
    </row>
    <row r="71" spans="2:6" ht="15.75" customHeight="1">
      <c r="B71" s="677"/>
      <c r="F71" s="677"/>
    </row>
    <row r="72" spans="2:6" ht="15.75" customHeight="1">
      <c r="B72" s="677"/>
      <c r="F72" s="677"/>
    </row>
  </sheetData>
  <mergeCells count="39">
    <mergeCell ref="A45:A46"/>
    <mergeCell ref="I45:I46"/>
    <mergeCell ref="A47:A49"/>
    <mergeCell ref="I47:I49"/>
    <mergeCell ref="A37:A38"/>
    <mergeCell ref="I37:I38"/>
    <mergeCell ref="A39:A41"/>
    <mergeCell ref="I39:I41"/>
    <mergeCell ref="A42:A44"/>
    <mergeCell ref="I42:I44"/>
    <mergeCell ref="A30:A31"/>
    <mergeCell ref="I30:I31"/>
    <mergeCell ref="A32:A34"/>
    <mergeCell ref="I32:I34"/>
    <mergeCell ref="A35:A36"/>
    <mergeCell ref="I35:I36"/>
    <mergeCell ref="X22:AA22"/>
    <mergeCell ref="A24:A26"/>
    <mergeCell ref="I24:I26"/>
    <mergeCell ref="A27:A29"/>
    <mergeCell ref="I27:I29"/>
    <mergeCell ref="V22:W22"/>
    <mergeCell ref="A18:A19"/>
    <mergeCell ref="I18:I19"/>
    <mergeCell ref="A20:A21"/>
    <mergeCell ref="I20:I21"/>
    <mergeCell ref="A22:A23"/>
    <mergeCell ref="I22:I23"/>
    <mergeCell ref="A9:A10"/>
    <mergeCell ref="I9:I10"/>
    <mergeCell ref="A11:A13"/>
    <mergeCell ref="I11:I13"/>
    <mergeCell ref="A14:A17"/>
    <mergeCell ref="I14:I17"/>
    <mergeCell ref="A2:D2"/>
    <mergeCell ref="A4:A6"/>
    <mergeCell ref="I4:I6"/>
    <mergeCell ref="A7:A8"/>
    <mergeCell ref="I7:I8"/>
  </mergeCells>
  <phoneticPr fontId="4" type="noConversion"/>
  <printOptions horizontalCentered="1"/>
  <pageMargins left="0.15748031496062992" right="0.27559055118110237" top="0.43307086614173229" bottom="0.27559055118110237" header="0.35433070866141736" footer="0"/>
  <pageSetup paperSize="9" scale="98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X98"/>
  <sheetViews>
    <sheetView zoomScaleSheetLayoutView="100" workbookViewId="0">
      <selection activeCell="D13" sqref="D13:G13"/>
    </sheetView>
  </sheetViews>
  <sheetFormatPr defaultColWidth="9.796875" defaultRowHeight="14.4"/>
  <cols>
    <col min="1" max="2" width="4.3984375" style="49" customWidth="1"/>
    <col min="3" max="3" width="9.09765625" style="49" customWidth="1"/>
    <col min="4" max="4" width="13.19921875" style="49" customWidth="1"/>
    <col min="5" max="5" width="7.69921875" style="49" customWidth="1"/>
    <col min="6" max="6" width="4.3984375" style="49" customWidth="1"/>
    <col min="7" max="7" width="3.59765625" style="49" customWidth="1"/>
    <col min="8" max="8" width="7.09765625" style="49" customWidth="1"/>
    <col min="9" max="9" width="2.796875" style="49" customWidth="1"/>
    <col min="10" max="10" width="2.8984375" style="49" customWidth="1"/>
    <col min="11" max="11" width="3.296875" style="49" customWidth="1"/>
    <col min="12" max="12" width="4.296875" style="49" customWidth="1"/>
    <col min="13" max="13" width="7.3984375" style="49" customWidth="1"/>
    <col min="14" max="14" width="11.296875" style="49" customWidth="1"/>
    <col min="15" max="15" width="13.09765625" style="49" customWidth="1"/>
    <col min="16" max="16" width="11.59765625" style="29" customWidth="1"/>
    <col min="17" max="17" width="9.296875" style="49" customWidth="1"/>
    <col min="18" max="18" width="7.796875" style="49" customWidth="1"/>
    <col min="19" max="19" width="12.59765625" style="49" customWidth="1"/>
    <col min="20" max="20" width="6.796875" style="49" customWidth="1"/>
    <col min="21" max="21" width="6.19921875" style="49" customWidth="1"/>
    <col min="22" max="22" width="5.8984375" style="49" customWidth="1"/>
    <col min="23" max="23" width="1.59765625" style="49" customWidth="1"/>
    <col min="24" max="24" width="9" style="49" bestFit="1" customWidth="1"/>
    <col min="25" max="25" width="12.3984375" style="49" customWidth="1"/>
    <col min="26" max="16384" width="9.796875" style="49"/>
  </cols>
  <sheetData>
    <row r="1" spans="1:50" ht="15.75" customHeight="1">
      <c r="A1" s="329" t="s">
        <v>6</v>
      </c>
      <c r="L1" s="1349">
        <v>42643</v>
      </c>
      <c r="M1" s="1349"/>
      <c r="N1" s="1349"/>
      <c r="O1" s="50"/>
      <c r="AC1" s="42"/>
      <c r="AD1" s="53"/>
      <c r="AE1" s="53"/>
      <c r="AF1" s="53"/>
      <c r="AG1" s="53"/>
      <c r="AH1" s="53"/>
      <c r="AI1" s="53"/>
      <c r="AJ1" s="53"/>
      <c r="AK1" s="53"/>
      <c r="AL1" s="53"/>
      <c r="AM1" s="45"/>
      <c r="AN1" s="45"/>
      <c r="AO1" s="45"/>
      <c r="AP1" s="46"/>
      <c r="AQ1" s="43"/>
      <c r="AR1" s="51"/>
      <c r="AS1" s="51"/>
      <c r="AT1" s="51"/>
      <c r="AU1" s="51"/>
      <c r="AV1" s="51"/>
      <c r="AW1" s="51"/>
      <c r="AX1" s="51"/>
    </row>
    <row r="2" spans="1:50" ht="18" customHeight="1" thickBot="1">
      <c r="B2" s="1269" t="s">
        <v>37</v>
      </c>
      <c r="C2" s="1270"/>
      <c r="D2" s="1269" t="s">
        <v>38</v>
      </c>
      <c r="E2" s="1277"/>
      <c r="F2" s="1277"/>
      <c r="G2" s="1270"/>
      <c r="H2" s="1283" t="s">
        <v>1</v>
      </c>
      <c r="I2" s="1283"/>
      <c r="J2" s="1283"/>
      <c r="K2" s="1283"/>
      <c r="L2" s="1283"/>
      <c r="M2" s="1283" t="s">
        <v>123</v>
      </c>
      <c r="N2" s="1283"/>
      <c r="O2" s="51"/>
      <c r="P2" s="33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42"/>
      <c r="AD2" s="53"/>
      <c r="AE2" s="53"/>
      <c r="AF2" s="53"/>
      <c r="AG2" s="53"/>
      <c r="AH2" s="53"/>
      <c r="AI2" s="53"/>
      <c r="AJ2" s="53"/>
      <c r="AK2" s="53"/>
      <c r="AL2" s="53"/>
      <c r="AM2" s="45"/>
      <c r="AN2" s="45"/>
      <c r="AO2" s="45"/>
      <c r="AP2" s="46"/>
      <c r="AQ2" s="43"/>
      <c r="AR2" s="51"/>
      <c r="AS2" s="51"/>
      <c r="AT2" s="51"/>
      <c r="AU2" s="51"/>
      <c r="AV2" s="51"/>
      <c r="AW2" s="51"/>
      <c r="AX2" s="51"/>
    </row>
    <row r="3" spans="1:50" ht="13.5" customHeight="1" thickTop="1">
      <c r="B3" s="1351" t="s">
        <v>8</v>
      </c>
      <c r="C3" s="1352"/>
      <c r="D3" s="1351" t="s">
        <v>151</v>
      </c>
      <c r="E3" s="1353"/>
      <c r="F3" s="1353"/>
      <c r="G3" s="1352"/>
      <c r="H3" s="1354">
        <v>101565059</v>
      </c>
      <c r="I3" s="1354"/>
      <c r="J3" s="1354"/>
      <c r="K3" s="1354"/>
      <c r="L3" s="1354"/>
      <c r="M3" s="1337"/>
      <c r="N3" s="1337"/>
      <c r="O3" s="24"/>
      <c r="P3" s="3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42"/>
      <c r="AD3" s="53"/>
      <c r="AE3" s="53"/>
      <c r="AF3" s="53"/>
      <c r="AG3" s="53"/>
      <c r="AH3" s="53"/>
      <c r="AI3" s="53"/>
      <c r="AJ3" s="53"/>
      <c r="AK3" s="53"/>
      <c r="AL3" s="53"/>
      <c r="AM3" s="45"/>
      <c r="AN3" s="45"/>
      <c r="AO3" s="45"/>
      <c r="AP3" s="46"/>
      <c r="AQ3" s="43"/>
      <c r="AR3" s="51"/>
      <c r="AS3" s="51"/>
      <c r="AT3" s="51"/>
      <c r="AU3" s="51"/>
      <c r="AV3" s="51"/>
      <c r="AW3" s="51"/>
      <c r="AX3" s="51"/>
    </row>
    <row r="4" spans="1:50" ht="13.5" customHeight="1">
      <c r="B4" s="1342" t="s">
        <v>298</v>
      </c>
      <c r="C4" s="1343"/>
      <c r="D4" s="1333" t="s">
        <v>151</v>
      </c>
      <c r="E4" s="1334"/>
      <c r="F4" s="1334"/>
      <c r="G4" s="1335"/>
      <c r="H4" s="1355">
        <v>19448597</v>
      </c>
      <c r="I4" s="1356"/>
      <c r="J4" s="1356"/>
      <c r="K4" s="1356"/>
      <c r="L4" s="1357"/>
      <c r="M4" s="1337"/>
      <c r="N4" s="1337"/>
      <c r="O4" s="1376"/>
      <c r="P4" s="1376"/>
      <c r="Q4" s="1376"/>
      <c r="R4" s="1376"/>
      <c r="S4" s="24"/>
      <c r="T4" s="24"/>
      <c r="U4" s="24"/>
      <c r="V4" s="24"/>
      <c r="W4" s="24"/>
      <c r="X4" s="24"/>
      <c r="Y4" s="24"/>
      <c r="Z4" s="24"/>
      <c r="AA4" s="24"/>
      <c r="AB4" s="24"/>
      <c r="AC4" s="42"/>
      <c r="AD4" s="53"/>
      <c r="AE4" s="53"/>
      <c r="AF4" s="53"/>
      <c r="AG4" s="53"/>
      <c r="AH4" s="53"/>
      <c r="AI4" s="53"/>
      <c r="AJ4" s="53"/>
      <c r="AK4" s="53"/>
      <c r="AL4" s="53"/>
      <c r="AM4" s="45"/>
      <c r="AN4" s="45"/>
      <c r="AO4" s="45"/>
      <c r="AP4" s="46"/>
      <c r="AQ4" s="43"/>
      <c r="AR4" s="51"/>
      <c r="AS4" s="51"/>
      <c r="AT4" s="51"/>
      <c r="AU4" s="51"/>
      <c r="AV4" s="51"/>
      <c r="AW4" s="51"/>
      <c r="AX4" s="51"/>
    </row>
    <row r="5" spans="1:50" ht="13.5" customHeight="1">
      <c r="B5" s="1333" t="s">
        <v>13</v>
      </c>
      <c r="C5" s="1335"/>
      <c r="D5" s="1333" t="s">
        <v>151</v>
      </c>
      <c r="E5" s="1334"/>
      <c r="F5" s="1334"/>
      <c r="G5" s="1335"/>
      <c r="H5" s="1350">
        <v>35189057</v>
      </c>
      <c r="I5" s="1350"/>
      <c r="J5" s="1350"/>
      <c r="K5" s="1350"/>
      <c r="L5" s="1350"/>
      <c r="M5" s="1337"/>
      <c r="N5" s="1337"/>
      <c r="O5" s="1376"/>
      <c r="P5" s="1376"/>
      <c r="Q5" s="1376"/>
      <c r="R5" s="1376"/>
      <c r="S5" s="24"/>
      <c r="T5" s="24"/>
      <c r="U5" s="24"/>
      <c r="V5" s="24"/>
      <c r="W5" s="24"/>
      <c r="X5" s="24"/>
      <c r="Y5" s="24"/>
      <c r="Z5" s="24"/>
      <c r="AA5" s="24"/>
      <c r="AB5" s="24"/>
      <c r="AC5" s="42"/>
      <c r="AD5" s="53"/>
      <c r="AE5" s="53"/>
      <c r="AF5" s="53"/>
      <c r="AG5" s="53"/>
      <c r="AH5" s="53"/>
      <c r="AI5" s="53"/>
      <c r="AJ5" s="53"/>
      <c r="AK5" s="53"/>
      <c r="AL5" s="53"/>
      <c r="AM5" s="45"/>
      <c r="AN5" s="45"/>
      <c r="AO5" s="45"/>
      <c r="AP5" s="46"/>
      <c r="AQ5" s="43"/>
      <c r="AR5" s="51"/>
      <c r="AS5" s="51"/>
      <c r="AT5" s="51"/>
      <c r="AU5" s="51"/>
      <c r="AV5" s="51"/>
      <c r="AW5" s="51"/>
      <c r="AX5" s="51"/>
    </row>
    <row r="6" spans="1:50" ht="13.5" customHeight="1">
      <c r="B6" s="1333" t="s">
        <v>120</v>
      </c>
      <c r="C6" s="1335"/>
      <c r="D6" s="1333" t="s">
        <v>151</v>
      </c>
      <c r="E6" s="1334"/>
      <c r="F6" s="1334"/>
      <c r="G6" s="1335"/>
      <c r="H6" s="1355">
        <v>70153415</v>
      </c>
      <c r="I6" s="1356"/>
      <c r="J6" s="1356"/>
      <c r="K6" s="1356"/>
      <c r="L6" s="1357"/>
      <c r="M6" s="1337"/>
      <c r="N6" s="1337"/>
      <c r="O6" s="1376"/>
      <c r="P6" s="1376"/>
      <c r="Q6" s="1376"/>
      <c r="R6" s="1376"/>
      <c r="S6" s="24"/>
      <c r="T6" s="24"/>
      <c r="U6" s="24"/>
      <c r="V6" s="24"/>
      <c r="W6" s="24"/>
      <c r="X6" s="24"/>
      <c r="Y6" s="24"/>
      <c r="Z6" s="24"/>
      <c r="AA6" s="24"/>
      <c r="AB6" s="24"/>
      <c r="AC6" s="42"/>
      <c r="AD6" s="53"/>
      <c r="AE6" s="53"/>
      <c r="AF6" s="53"/>
      <c r="AG6" s="53"/>
      <c r="AH6" s="53"/>
      <c r="AI6" s="53"/>
      <c r="AJ6" s="53"/>
      <c r="AK6" s="53"/>
      <c r="AL6" s="53"/>
      <c r="AM6" s="45"/>
      <c r="AN6" s="45"/>
      <c r="AO6" s="45"/>
      <c r="AP6" s="46"/>
      <c r="AQ6" s="43"/>
      <c r="AR6" s="51"/>
      <c r="AS6" s="51"/>
      <c r="AT6" s="51"/>
      <c r="AU6" s="51"/>
      <c r="AV6" s="51"/>
      <c r="AW6" s="51"/>
      <c r="AX6" s="51"/>
    </row>
    <row r="7" spans="1:50" ht="13.5" customHeight="1">
      <c r="B7" s="1333" t="s">
        <v>7</v>
      </c>
      <c r="C7" s="1335"/>
      <c r="D7" s="1333" t="s">
        <v>151</v>
      </c>
      <c r="E7" s="1334"/>
      <c r="F7" s="1334"/>
      <c r="G7" s="1335"/>
      <c r="H7" s="1350">
        <v>173573066</v>
      </c>
      <c r="I7" s="1350"/>
      <c r="J7" s="1350"/>
      <c r="K7" s="1350"/>
      <c r="L7" s="1350"/>
      <c r="M7" s="1337"/>
      <c r="N7" s="1337"/>
      <c r="O7" s="1376"/>
      <c r="P7" s="1376"/>
      <c r="Q7" s="1376"/>
      <c r="R7" s="1376"/>
      <c r="S7" s="24"/>
      <c r="T7" s="24"/>
      <c r="U7" s="24"/>
      <c r="V7" s="24"/>
      <c r="W7" s="24"/>
      <c r="X7" s="24"/>
      <c r="Y7" s="24"/>
      <c r="Z7" s="24"/>
      <c r="AA7" s="24"/>
      <c r="AB7" s="24"/>
      <c r="AC7" s="42"/>
      <c r="AD7" s="53"/>
      <c r="AE7" s="53"/>
      <c r="AF7" s="53"/>
      <c r="AG7" s="53"/>
      <c r="AH7" s="53"/>
      <c r="AI7" s="53"/>
      <c r="AJ7" s="53"/>
      <c r="AK7" s="53"/>
      <c r="AL7" s="53"/>
      <c r="AM7" s="45"/>
      <c r="AN7" s="45"/>
      <c r="AO7" s="45"/>
      <c r="AP7" s="46"/>
      <c r="AQ7" s="43"/>
      <c r="AR7" s="51"/>
      <c r="AS7" s="51"/>
      <c r="AT7" s="51"/>
      <c r="AU7" s="51"/>
      <c r="AV7" s="51"/>
      <c r="AW7" s="51"/>
      <c r="AX7" s="51"/>
    </row>
    <row r="8" spans="1:50" s="90" customFormat="1" ht="13.5" customHeight="1">
      <c r="B8" s="1333" t="s">
        <v>39</v>
      </c>
      <c r="C8" s="1335"/>
      <c r="D8" s="1333" t="s">
        <v>151</v>
      </c>
      <c r="E8" s="1334"/>
      <c r="F8" s="1334"/>
      <c r="G8" s="1335"/>
      <c r="H8" s="1355">
        <v>71643463</v>
      </c>
      <c r="I8" s="1356"/>
      <c r="J8" s="1356"/>
      <c r="K8" s="1356"/>
      <c r="L8" s="1357"/>
      <c r="M8" s="1337"/>
      <c r="N8" s="1337"/>
      <c r="O8" s="24"/>
      <c r="P8" s="3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42"/>
      <c r="AD8" s="92"/>
      <c r="AE8" s="92"/>
      <c r="AF8" s="92"/>
      <c r="AG8" s="92"/>
      <c r="AH8" s="92"/>
      <c r="AI8" s="92"/>
      <c r="AJ8" s="92"/>
      <c r="AK8" s="92"/>
      <c r="AL8" s="92"/>
      <c r="AM8" s="45"/>
      <c r="AN8" s="45"/>
      <c r="AO8" s="45"/>
      <c r="AP8" s="46"/>
      <c r="AQ8" s="43"/>
      <c r="AR8" s="91"/>
      <c r="AS8" s="91"/>
      <c r="AT8" s="91"/>
      <c r="AU8" s="91"/>
      <c r="AV8" s="91"/>
      <c r="AW8" s="91"/>
      <c r="AX8" s="91"/>
    </row>
    <row r="9" spans="1:50" ht="13.5" customHeight="1">
      <c r="B9" s="1333" t="s">
        <v>7</v>
      </c>
      <c r="C9" s="1335"/>
      <c r="D9" s="1333" t="s">
        <v>55</v>
      </c>
      <c r="E9" s="1334"/>
      <c r="F9" s="1334"/>
      <c r="G9" s="1335"/>
      <c r="H9" s="1336">
        <v>95317347</v>
      </c>
      <c r="I9" s="1336"/>
      <c r="J9" s="1336"/>
      <c r="K9" s="1336"/>
      <c r="L9" s="1336"/>
      <c r="M9" s="1337"/>
      <c r="N9" s="1337"/>
      <c r="O9" s="24"/>
      <c r="P9" s="3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42"/>
      <c r="AD9" s="53"/>
      <c r="AE9" s="53"/>
      <c r="AF9" s="53"/>
      <c r="AG9" s="53"/>
      <c r="AH9" s="53"/>
      <c r="AI9" s="53"/>
      <c r="AJ9" s="53"/>
      <c r="AK9" s="53"/>
      <c r="AL9" s="53"/>
      <c r="AM9" s="45"/>
      <c r="AN9" s="45"/>
      <c r="AO9" s="45"/>
      <c r="AP9" s="46"/>
      <c r="AQ9" s="43"/>
      <c r="AR9" s="51"/>
      <c r="AS9" s="51"/>
      <c r="AT9" s="51"/>
      <c r="AU9" s="51"/>
      <c r="AV9" s="51"/>
      <c r="AW9" s="51"/>
      <c r="AX9" s="51"/>
    </row>
    <row r="10" spans="1:50" s="84" customFormat="1" ht="13.5" customHeight="1">
      <c r="B10" s="1333" t="s">
        <v>7</v>
      </c>
      <c r="C10" s="1335"/>
      <c r="D10" s="1333" t="s">
        <v>122</v>
      </c>
      <c r="E10" s="1334"/>
      <c r="F10" s="1334"/>
      <c r="G10" s="1335"/>
      <c r="H10" s="1355">
        <v>218915</v>
      </c>
      <c r="I10" s="1356"/>
      <c r="J10" s="1356"/>
      <c r="K10" s="1356"/>
      <c r="L10" s="1357"/>
      <c r="M10" s="1347"/>
      <c r="N10" s="1348"/>
      <c r="O10" s="24"/>
      <c r="P10" s="3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42"/>
      <c r="AD10" s="85"/>
      <c r="AE10" s="85"/>
      <c r="AF10" s="85"/>
      <c r="AG10" s="85"/>
      <c r="AH10" s="85"/>
      <c r="AI10" s="85"/>
      <c r="AJ10" s="85"/>
      <c r="AK10" s="85"/>
      <c r="AL10" s="85"/>
      <c r="AM10" s="45"/>
      <c r="AN10" s="45"/>
      <c r="AO10" s="45"/>
      <c r="AP10" s="46"/>
      <c r="AQ10" s="43"/>
      <c r="AR10" s="86"/>
      <c r="AS10" s="86"/>
      <c r="AT10" s="86"/>
      <c r="AU10" s="86"/>
      <c r="AV10" s="86"/>
      <c r="AW10" s="86"/>
      <c r="AX10" s="86"/>
    </row>
    <row r="11" spans="1:50" ht="13.5" customHeight="1">
      <c r="B11" s="1358" t="s">
        <v>56</v>
      </c>
      <c r="C11" s="1359"/>
      <c r="D11" s="1359"/>
      <c r="E11" s="1359"/>
      <c r="F11" s="1359"/>
      <c r="G11" s="1360"/>
      <c r="H11" s="1361">
        <f>SUM(H3:H10)</f>
        <v>567108919</v>
      </c>
      <c r="I11" s="1362"/>
      <c r="J11" s="1362"/>
      <c r="K11" s="1362"/>
      <c r="L11" s="1363"/>
      <c r="M11" s="1330"/>
      <c r="N11" s="1330"/>
      <c r="O11" s="24"/>
      <c r="P11" s="3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42"/>
      <c r="AD11" s="53"/>
      <c r="AE11" s="53"/>
      <c r="AF11" s="53"/>
      <c r="AG11" s="53"/>
      <c r="AH11" s="53"/>
      <c r="AI11" s="53"/>
      <c r="AJ11" s="53"/>
      <c r="AK11" s="53"/>
      <c r="AL11" s="53"/>
      <c r="AM11" s="45"/>
      <c r="AN11" s="45"/>
      <c r="AO11" s="45"/>
      <c r="AP11" s="46"/>
      <c r="AQ11" s="43"/>
      <c r="AR11" s="51"/>
      <c r="AS11" s="51"/>
      <c r="AT11" s="51"/>
      <c r="AU11" s="51"/>
      <c r="AV11" s="51"/>
      <c r="AW11" s="51"/>
      <c r="AX11" s="51"/>
    </row>
    <row r="12" spans="1:50" ht="13.5" customHeight="1">
      <c r="B12" s="1342" t="s">
        <v>7</v>
      </c>
      <c r="C12" s="1343"/>
      <c r="D12" s="1333" t="s">
        <v>125</v>
      </c>
      <c r="E12" s="1334"/>
      <c r="F12" s="1334"/>
      <c r="G12" s="1335"/>
      <c r="H12" s="1336">
        <v>558205957</v>
      </c>
      <c r="I12" s="1336"/>
      <c r="J12" s="1336"/>
      <c r="K12" s="1336"/>
      <c r="L12" s="1336"/>
      <c r="M12" s="1337" t="s">
        <v>403</v>
      </c>
      <c r="N12" s="1337"/>
      <c r="O12" s="24"/>
      <c r="P12" s="3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42"/>
      <c r="AD12" s="53"/>
      <c r="AE12" s="53"/>
      <c r="AF12" s="53"/>
      <c r="AG12" s="53"/>
      <c r="AH12" s="53"/>
      <c r="AI12" s="53"/>
      <c r="AJ12" s="53"/>
      <c r="AK12" s="53"/>
      <c r="AL12" s="53"/>
      <c r="AM12" s="45"/>
      <c r="AN12" s="45"/>
      <c r="AO12" s="45"/>
      <c r="AP12" s="46"/>
      <c r="AQ12" s="43"/>
      <c r="AR12" s="51"/>
      <c r="AS12" s="51"/>
      <c r="AT12" s="51"/>
      <c r="AU12" s="51"/>
      <c r="AV12" s="51"/>
      <c r="AW12" s="51"/>
      <c r="AX12" s="51"/>
    </row>
    <row r="13" spans="1:50" s="75" customFormat="1" ht="13.5" customHeight="1">
      <c r="B13" s="1342" t="s">
        <v>7</v>
      </c>
      <c r="C13" s="1365"/>
      <c r="D13" s="1333" t="s">
        <v>125</v>
      </c>
      <c r="E13" s="1366"/>
      <c r="F13" s="1366"/>
      <c r="G13" s="1365"/>
      <c r="H13" s="1344">
        <v>82349365</v>
      </c>
      <c r="I13" s="1367"/>
      <c r="J13" s="1367"/>
      <c r="K13" s="1367"/>
      <c r="L13" s="1368"/>
      <c r="M13" s="1331" t="s">
        <v>126</v>
      </c>
      <c r="N13" s="1377"/>
      <c r="O13" s="76"/>
      <c r="P13" s="67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42"/>
      <c r="AD13" s="77"/>
      <c r="AE13" s="77"/>
      <c r="AF13" s="77"/>
      <c r="AG13" s="77"/>
      <c r="AH13" s="77"/>
      <c r="AI13" s="77"/>
      <c r="AJ13" s="77"/>
      <c r="AK13" s="77"/>
      <c r="AL13" s="77"/>
      <c r="AM13" s="45"/>
      <c r="AN13" s="45"/>
      <c r="AO13" s="45"/>
      <c r="AP13" s="46"/>
      <c r="AQ13" s="43"/>
      <c r="AR13" s="79"/>
      <c r="AS13" s="79"/>
      <c r="AT13" s="79"/>
      <c r="AU13" s="79"/>
      <c r="AV13" s="79"/>
      <c r="AW13" s="79"/>
      <c r="AX13" s="79"/>
    </row>
    <row r="14" spans="1:50" s="348" customFormat="1" ht="13.5" customHeight="1">
      <c r="B14" s="1342" t="s">
        <v>7</v>
      </c>
      <c r="C14" s="1365"/>
      <c r="D14" s="1333" t="s">
        <v>125</v>
      </c>
      <c r="E14" s="1366"/>
      <c r="F14" s="1366"/>
      <c r="G14" s="1365"/>
      <c r="H14" s="1344">
        <v>72469809</v>
      </c>
      <c r="I14" s="1367"/>
      <c r="J14" s="1367"/>
      <c r="K14" s="1367"/>
      <c r="L14" s="1368"/>
      <c r="M14" s="1331" t="s">
        <v>376</v>
      </c>
      <c r="N14" s="1332"/>
      <c r="O14" s="349"/>
      <c r="P14" s="67"/>
      <c r="Q14" s="126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42"/>
      <c r="AD14" s="264"/>
      <c r="AE14" s="264"/>
      <c r="AF14" s="264"/>
      <c r="AG14" s="264"/>
      <c r="AH14" s="264"/>
      <c r="AI14" s="264"/>
      <c r="AJ14" s="264"/>
      <c r="AK14" s="264"/>
      <c r="AL14" s="264"/>
      <c r="AM14" s="45"/>
      <c r="AN14" s="45"/>
      <c r="AO14" s="45"/>
      <c r="AP14" s="46"/>
      <c r="AQ14" s="43"/>
      <c r="AR14" s="351"/>
      <c r="AS14" s="351"/>
      <c r="AT14" s="351"/>
      <c r="AU14" s="351"/>
      <c r="AV14" s="351"/>
      <c r="AW14" s="351"/>
      <c r="AX14" s="351"/>
    </row>
    <row r="15" spans="1:50" s="93" customFormat="1" ht="13.5" customHeight="1">
      <c r="B15" s="1342" t="s">
        <v>7</v>
      </c>
      <c r="C15" s="1343"/>
      <c r="D15" s="1342" t="s">
        <v>147</v>
      </c>
      <c r="E15" s="1334"/>
      <c r="F15" s="1334"/>
      <c r="G15" s="1335"/>
      <c r="H15" s="1344">
        <v>72698400</v>
      </c>
      <c r="I15" s="1345"/>
      <c r="J15" s="1345"/>
      <c r="K15" s="1345"/>
      <c r="L15" s="1346"/>
      <c r="M15" s="1330" t="s">
        <v>377</v>
      </c>
      <c r="N15" s="1330"/>
      <c r="P15" s="68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42"/>
      <c r="AD15" s="94"/>
      <c r="AE15" s="94"/>
      <c r="AF15" s="94"/>
      <c r="AG15" s="94"/>
      <c r="AH15" s="94"/>
      <c r="AI15" s="94"/>
      <c r="AJ15" s="94"/>
      <c r="AK15" s="94"/>
      <c r="AL15" s="94"/>
      <c r="AM15" s="45"/>
      <c r="AN15" s="45"/>
      <c r="AO15" s="45"/>
      <c r="AP15" s="46"/>
      <c r="AQ15" s="43"/>
      <c r="AR15" s="95"/>
      <c r="AS15" s="95"/>
      <c r="AT15" s="95"/>
      <c r="AU15" s="95"/>
      <c r="AV15" s="95"/>
      <c r="AW15" s="95"/>
      <c r="AX15" s="95"/>
    </row>
    <row r="16" spans="1:50" s="93" customFormat="1" ht="13.5" customHeight="1">
      <c r="B16" s="1342" t="s">
        <v>298</v>
      </c>
      <c r="C16" s="1343"/>
      <c r="D16" s="1333" t="s">
        <v>147</v>
      </c>
      <c r="E16" s="1334"/>
      <c r="F16" s="1334"/>
      <c r="G16" s="1335"/>
      <c r="H16" s="1344">
        <v>17618650</v>
      </c>
      <c r="I16" s="1345"/>
      <c r="J16" s="1345"/>
      <c r="K16" s="1345"/>
      <c r="L16" s="1346"/>
      <c r="M16" s="1330" t="s">
        <v>383</v>
      </c>
      <c r="N16" s="1330"/>
      <c r="P16" s="67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42"/>
      <c r="AD16" s="94"/>
      <c r="AE16" s="94"/>
      <c r="AF16" s="94"/>
      <c r="AG16" s="94"/>
      <c r="AH16" s="94"/>
      <c r="AI16" s="94"/>
      <c r="AJ16" s="94"/>
      <c r="AK16" s="94"/>
      <c r="AL16" s="94"/>
      <c r="AM16" s="45"/>
      <c r="AN16" s="45"/>
      <c r="AO16" s="45"/>
      <c r="AP16" s="46"/>
      <c r="AQ16" s="43"/>
      <c r="AR16" s="95"/>
      <c r="AS16" s="95"/>
      <c r="AT16" s="95"/>
      <c r="AU16" s="95"/>
      <c r="AV16" s="95"/>
      <c r="AW16" s="95"/>
      <c r="AX16" s="95"/>
    </row>
    <row r="17" spans="1:50" s="353" customFormat="1" ht="13.5" customHeight="1">
      <c r="B17" s="1342" t="s">
        <v>298</v>
      </c>
      <c r="C17" s="1343"/>
      <c r="D17" s="1333" t="s">
        <v>380</v>
      </c>
      <c r="E17" s="1334"/>
      <c r="F17" s="1334"/>
      <c r="G17" s="1335"/>
      <c r="H17" s="1344">
        <v>35604107</v>
      </c>
      <c r="I17" s="1345"/>
      <c r="J17" s="1345"/>
      <c r="K17" s="1345"/>
      <c r="L17" s="1346"/>
      <c r="M17" s="1347" t="s">
        <v>381</v>
      </c>
      <c r="N17" s="1348"/>
      <c r="P17" s="67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42"/>
      <c r="AD17" s="264"/>
      <c r="AE17" s="264"/>
      <c r="AF17" s="264"/>
      <c r="AG17" s="264"/>
      <c r="AH17" s="264"/>
      <c r="AI17" s="264"/>
      <c r="AJ17" s="264"/>
      <c r="AK17" s="264"/>
      <c r="AL17" s="264"/>
      <c r="AM17" s="45"/>
      <c r="AN17" s="45"/>
      <c r="AO17" s="45"/>
      <c r="AP17" s="46"/>
      <c r="AQ17" s="43"/>
      <c r="AR17" s="354"/>
      <c r="AS17" s="354"/>
      <c r="AT17" s="354"/>
      <c r="AU17" s="354"/>
      <c r="AV17" s="354"/>
      <c r="AW17" s="354"/>
      <c r="AX17" s="354"/>
    </row>
    <row r="18" spans="1:50" ht="13.5" customHeight="1">
      <c r="B18" s="1342" t="s">
        <v>8</v>
      </c>
      <c r="C18" s="1343"/>
      <c r="D18" s="1333" t="s">
        <v>125</v>
      </c>
      <c r="E18" s="1334"/>
      <c r="F18" s="1334"/>
      <c r="G18" s="1335"/>
      <c r="H18" s="1336">
        <v>184554094</v>
      </c>
      <c r="I18" s="1336"/>
      <c r="J18" s="1336"/>
      <c r="K18" s="1336"/>
      <c r="L18" s="1336"/>
      <c r="M18" s="1337" t="s">
        <v>382</v>
      </c>
      <c r="N18" s="1337"/>
      <c r="O18" s="50"/>
      <c r="AC18" s="42"/>
      <c r="AD18" s="53"/>
      <c r="AE18" s="53"/>
      <c r="AF18" s="53"/>
      <c r="AG18" s="53"/>
      <c r="AH18" s="53"/>
      <c r="AI18" s="53"/>
      <c r="AJ18" s="53"/>
      <c r="AK18" s="53"/>
      <c r="AL18" s="53"/>
      <c r="AM18" s="45"/>
      <c r="AN18" s="45"/>
      <c r="AO18" s="45"/>
      <c r="AP18" s="46"/>
      <c r="AQ18" s="43"/>
      <c r="AR18" s="51"/>
      <c r="AS18" s="51"/>
      <c r="AT18" s="51"/>
      <c r="AU18" s="51"/>
      <c r="AV18" s="51"/>
      <c r="AW18" s="51"/>
      <c r="AX18" s="51"/>
    </row>
    <row r="19" spans="1:50" s="348" customFormat="1" ht="13.5" customHeight="1">
      <c r="B19" s="1342" t="s">
        <v>8</v>
      </c>
      <c r="C19" s="1343"/>
      <c r="D19" s="1333" t="s">
        <v>125</v>
      </c>
      <c r="E19" s="1334"/>
      <c r="F19" s="1334"/>
      <c r="G19" s="1335"/>
      <c r="H19" s="1336">
        <v>190052181</v>
      </c>
      <c r="I19" s="1336"/>
      <c r="J19" s="1336"/>
      <c r="K19" s="1336"/>
      <c r="L19" s="1336"/>
      <c r="M19" s="1347" t="s">
        <v>376</v>
      </c>
      <c r="N19" s="1348"/>
      <c r="O19" s="350"/>
      <c r="P19" s="29"/>
      <c r="AC19" s="42"/>
      <c r="AD19" s="264"/>
      <c r="AE19" s="264"/>
      <c r="AF19" s="264"/>
      <c r="AG19" s="264"/>
      <c r="AH19" s="264"/>
      <c r="AI19" s="264"/>
      <c r="AJ19" s="264"/>
      <c r="AK19" s="264"/>
      <c r="AL19" s="264"/>
      <c r="AM19" s="45"/>
      <c r="AN19" s="45"/>
      <c r="AO19" s="45"/>
      <c r="AP19" s="46"/>
      <c r="AQ19" s="43"/>
      <c r="AR19" s="351"/>
      <c r="AS19" s="351"/>
      <c r="AT19" s="351"/>
      <c r="AU19" s="351"/>
      <c r="AV19" s="351"/>
      <c r="AW19" s="351"/>
      <c r="AX19" s="351"/>
    </row>
    <row r="20" spans="1:50" ht="13.5" customHeight="1">
      <c r="B20" s="1342" t="s">
        <v>120</v>
      </c>
      <c r="C20" s="1343"/>
      <c r="D20" s="1342" t="s">
        <v>147</v>
      </c>
      <c r="E20" s="1334"/>
      <c r="F20" s="1334"/>
      <c r="G20" s="1335"/>
      <c r="H20" s="1344">
        <v>151017000</v>
      </c>
      <c r="I20" s="1345"/>
      <c r="J20" s="1345"/>
      <c r="K20" s="1345"/>
      <c r="L20" s="1346"/>
      <c r="M20" s="1330" t="s">
        <v>124</v>
      </c>
      <c r="N20" s="1330"/>
      <c r="O20" s="66"/>
      <c r="P20" s="67"/>
      <c r="Q20" s="7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42"/>
      <c r="AD20" s="53"/>
      <c r="AE20" s="53"/>
      <c r="AF20" s="53"/>
      <c r="AG20" s="53"/>
      <c r="AH20" s="53"/>
      <c r="AI20" s="53"/>
      <c r="AJ20" s="53"/>
      <c r="AK20" s="53"/>
      <c r="AL20" s="53"/>
      <c r="AM20" s="45"/>
      <c r="AN20" s="45"/>
      <c r="AO20" s="45"/>
      <c r="AP20" s="46"/>
      <c r="AQ20" s="43"/>
      <c r="AR20" s="51"/>
      <c r="AS20" s="51"/>
      <c r="AT20" s="51"/>
      <c r="AU20" s="51"/>
      <c r="AV20" s="51"/>
      <c r="AW20" s="51"/>
      <c r="AX20" s="51"/>
    </row>
    <row r="21" spans="1:50" ht="13.5" customHeight="1">
      <c r="B21" s="1358" t="s">
        <v>56</v>
      </c>
      <c r="C21" s="1359"/>
      <c r="D21" s="1359"/>
      <c r="E21" s="1359"/>
      <c r="F21" s="1359"/>
      <c r="G21" s="1360"/>
      <c r="H21" s="1361">
        <f>SUM(H12:H20)</f>
        <v>1364569563</v>
      </c>
      <c r="I21" s="1362"/>
      <c r="J21" s="1362"/>
      <c r="K21" s="1362"/>
      <c r="L21" s="1363"/>
      <c r="M21" s="1371"/>
      <c r="N21" s="1372"/>
      <c r="O21" s="50"/>
      <c r="AC21" s="42"/>
      <c r="AD21" s="53"/>
      <c r="AE21" s="53"/>
      <c r="AF21" s="53"/>
      <c r="AG21" s="53"/>
      <c r="AH21" s="53"/>
      <c r="AI21" s="53"/>
      <c r="AJ21" s="53"/>
      <c r="AK21" s="53"/>
      <c r="AL21" s="53"/>
      <c r="AM21" s="45"/>
      <c r="AN21" s="45"/>
      <c r="AO21" s="45"/>
      <c r="AP21" s="46"/>
      <c r="AQ21" s="43"/>
      <c r="AR21" s="51"/>
      <c r="AS21" s="51"/>
      <c r="AT21" s="51"/>
      <c r="AU21" s="51"/>
      <c r="AV21" s="51"/>
      <c r="AW21" s="51"/>
      <c r="AX21" s="51"/>
    </row>
    <row r="22" spans="1:50" ht="13.5" customHeight="1">
      <c r="B22" s="1373" t="s">
        <v>7</v>
      </c>
      <c r="C22" s="1374"/>
      <c r="D22" s="1331" t="s">
        <v>289</v>
      </c>
      <c r="E22" s="1375"/>
      <c r="F22" s="1375"/>
      <c r="G22" s="1348"/>
      <c r="H22" s="1336">
        <v>15000000</v>
      </c>
      <c r="I22" s="1336"/>
      <c r="J22" s="1336"/>
      <c r="K22" s="1336"/>
      <c r="L22" s="1336"/>
      <c r="M22" s="1331" t="s">
        <v>402</v>
      </c>
      <c r="N22" s="1332"/>
      <c r="O22" s="1296"/>
      <c r="P22" s="1296"/>
      <c r="AC22" s="42"/>
      <c r="AD22" s="53"/>
      <c r="AE22" s="53"/>
      <c r="AF22" s="53"/>
      <c r="AG22" s="53"/>
      <c r="AH22" s="53"/>
      <c r="AI22" s="53"/>
      <c r="AJ22" s="53"/>
      <c r="AK22" s="53"/>
      <c r="AL22" s="53"/>
      <c r="AM22" s="45"/>
      <c r="AN22" s="45"/>
      <c r="AO22" s="45"/>
      <c r="AP22" s="46"/>
      <c r="AQ22" s="43"/>
      <c r="AR22" s="51"/>
      <c r="AS22" s="51"/>
      <c r="AT22" s="51"/>
      <c r="AU22" s="51"/>
      <c r="AV22" s="51"/>
      <c r="AW22" s="51"/>
      <c r="AX22" s="51"/>
    </row>
    <row r="23" spans="1:50" ht="15" customHeight="1">
      <c r="B23" s="1317" t="s">
        <v>67</v>
      </c>
      <c r="C23" s="1318"/>
      <c r="D23" s="1318"/>
      <c r="E23" s="1318"/>
      <c r="F23" s="1318"/>
      <c r="G23" s="1319"/>
      <c r="H23" s="1369">
        <f>H11+H21+H22</f>
        <v>1946678482</v>
      </c>
      <c r="I23" s="1369"/>
      <c r="J23" s="1369"/>
      <c r="K23" s="1369"/>
      <c r="L23" s="1369"/>
      <c r="M23" s="1370"/>
      <c r="N23" s="1370"/>
      <c r="O23" s="25"/>
      <c r="P23" s="3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42"/>
      <c r="AD23" s="53"/>
      <c r="AE23" s="53"/>
      <c r="AF23" s="53"/>
      <c r="AG23" s="53"/>
      <c r="AH23" s="53"/>
      <c r="AI23" s="53"/>
      <c r="AJ23" s="53"/>
      <c r="AK23" s="53"/>
      <c r="AL23" s="53"/>
      <c r="AM23" s="45"/>
      <c r="AN23" s="45"/>
      <c r="AO23" s="45"/>
      <c r="AP23" s="46"/>
      <c r="AQ23" s="43"/>
      <c r="AR23" s="51"/>
      <c r="AS23" s="51"/>
      <c r="AT23" s="51"/>
      <c r="AU23" s="51"/>
      <c r="AV23" s="51"/>
      <c r="AW23" s="51"/>
      <c r="AX23" s="51"/>
    </row>
    <row r="24" spans="1:50" ht="3.75" customHeight="1">
      <c r="O24" s="25"/>
      <c r="P24" s="3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42"/>
      <c r="AD24" s="53"/>
      <c r="AE24" s="53"/>
      <c r="AF24" s="53"/>
      <c r="AG24" s="53"/>
      <c r="AH24" s="53"/>
      <c r="AI24" s="53"/>
      <c r="AJ24" s="53"/>
      <c r="AK24" s="53"/>
      <c r="AL24" s="53"/>
      <c r="AM24" s="45"/>
      <c r="AN24" s="45"/>
      <c r="AO24" s="45"/>
      <c r="AP24" s="46"/>
      <c r="AQ24" s="43"/>
      <c r="AR24" s="51"/>
      <c r="AS24" s="51"/>
      <c r="AT24" s="51"/>
      <c r="AU24" s="51"/>
      <c r="AV24" s="51"/>
      <c r="AW24" s="51"/>
      <c r="AX24" s="51"/>
    </row>
    <row r="25" spans="1:50" ht="13.5" customHeight="1">
      <c r="A25" s="52" t="s">
        <v>40</v>
      </c>
      <c r="L25" s="773"/>
      <c r="M25" s="773"/>
      <c r="N25" s="773"/>
      <c r="O25" s="25"/>
      <c r="P25" s="3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42"/>
      <c r="AD25" s="53"/>
      <c r="AE25" s="53"/>
      <c r="AF25" s="53"/>
      <c r="AG25" s="53"/>
      <c r="AH25" s="53"/>
      <c r="AI25" s="53"/>
      <c r="AJ25" s="53"/>
      <c r="AK25" s="53"/>
      <c r="AL25" s="53"/>
      <c r="AM25" s="45"/>
      <c r="AN25" s="45"/>
      <c r="AO25" s="45"/>
      <c r="AP25" s="46"/>
      <c r="AQ25" s="43"/>
      <c r="AR25" s="51"/>
      <c r="AS25" s="51"/>
      <c r="AT25" s="51"/>
      <c r="AU25" s="51"/>
      <c r="AV25" s="51"/>
      <c r="AW25" s="51"/>
      <c r="AX25" s="51"/>
    </row>
    <row r="26" spans="1:50" ht="15" customHeight="1" thickBot="1">
      <c r="B26" s="1269" t="s">
        <v>5</v>
      </c>
      <c r="C26" s="1270"/>
      <c r="D26" s="1269" t="s">
        <v>41</v>
      </c>
      <c r="E26" s="1270"/>
      <c r="F26" s="1269" t="s">
        <v>42</v>
      </c>
      <c r="G26" s="1277"/>
      <c r="H26" s="1270"/>
      <c r="I26" s="1283" t="s">
        <v>43</v>
      </c>
      <c r="J26" s="1283"/>
      <c r="K26" s="1283"/>
      <c r="L26" s="1283"/>
      <c r="M26" s="1283" t="s">
        <v>44</v>
      </c>
      <c r="N26" s="1283"/>
      <c r="O26" s="25"/>
      <c r="P26" s="3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42"/>
      <c r="AD26" s="53"/>
      <c r="AE26" s="53"/>
      <c r="AF26" s="53"/>
      <c r="AG26" s="53"/>
      <c r="AH26" s="53"/>
      <c r="AI26" s="53"/>
      <c r="AJ26" s="53"/>
      <c r="AK26" s="53"/>
      <c r="AL26" s="53"/>
      <c r="AM26" s="45"/>
      <c r="AN26" s="45"/>
      <c r="AO26" s="45"/>
      <c r="AP26" s="46"/>
      <c r="AQ26" s="43"/>
      <c r="AR26" s="51"/>
      <c r="AS26" s="51"/>
      <c r="AT26" s="51"/>
      <c r="AU26" s="51"/>
      <c r="AV26" s="51"/>
      <c r="AW26" s="51"/>
      <c r="AX26" s="51"/>
    </row>
    <row r="27" spans="1:50" s="65" customFormat="1" ht="13.5" customHeight="1" thickTop="1">
      <c r="B27" s="1273" t="s">
        <v>397</v>
      </c>
      <c r="C27" s="1274"/>
      <c r="D27" s="1305" t="s">
        <v>88</v>
      </c>
      <c r="E27" s="1306"/>
      <c r="F27" s="1307">
        <v>26860</v>
      </c>
      <c r="G27" s="1308"/>
      <c r="H27" s="1309"/>
      <c r="I27" s="1310">
        <v>0</v>
      </c>
      <c r="J27" s="1310"/>
      <c r="K27" s="1310"/>
      <c r="L27" s="1310"/>
      <c r="M27" s="1378">
        <f t="shared" ref="M27:M28" si="0">F27+I27</f>
        <v>26860</v>
      </c>
      <c r="N27" s="1379"/>
      <c r="O27" s="44"/>
      <c r="P27" s="36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45"/>
      <c r="AN27" s="45"/>
      <c r="AO27" s="45"/>
      <c r="AP27" s="46"/>
      <c r="AQ27" s="43"/>
    </row>
    <row r="28" spans="1:50" ht="13.5" customHeight="1">
      <c r="B28" s="1273" t="s">
        <v>45</v>
      </c>
      <c r="C28" s="1274"/>
      <c r="D28" s="1305" t="s">
        <v>87</v>
      </c>
      <c r="E28" s="1306"/>
      <c r="F28" s="1307">
        <v>73530306</v>
      </c>
      <c r="G28" s="1308"/>
      <c r="H28" s="1309"/>
      <c r="I28" s="1310">
        <v>81480</v>
      </c>
      <c r="J28" s="1310"/>
      <c r="K28" s="1310"/>
      <c r="L28" s="1310"/>
      <c r="M28" s="1378">
        <f t="shared" si="0"/>
        <v>73611786</v>
      </c>
      <c r="N28" s="1379"/>
      <c r="O28" s="41"/>
      <c r="P28" s="3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42"/>
      <c r="AD28" s="53"/>
      <c r="AE28" s="53"/>
      <c r="AF28" s="53"/>
      <c r="AG28" s="53"/>
      <c r="AH28" s="53"/>
      <c r="AI28" s="53"/>
      <c r="AJ28" s="53"/>
      <c r="AK28" s="53"/>
      <c r="AL28" s="53"/>
      <c r="AM28" s="45"/>
      <c r="AN28" s="45"/>
      <c r="AO28" s="45"/>
      <c r="AP28" s="46"/>
      <c r="AQ28" s="43"/>
      <c r="AR28" s="51"/>
      <c r="AS28" s="51"/>
      <c r="AT28" s="51"/>
      <c r="AU28" s="51"/>
      <c r="AV28" s="51"/>
      <c r="AW28" s="51"/>
      <c r="AX28" s="51"/>
    </row>
    <row r="29" spans="1:50" s="51" customFormat="1" ht="13.5" customHeight="1">
      <c r="A29" s="49"/>
      <c r="B29" s="1291" t="s">
        <v>296</v>
      </c>
      <c r="C29" s="1292"/>
      <c r="D29" s="1289" t="s">
        <v>84</v>
      </c>
      <c r="E29" s="1290"/>
      <c r="F29" s="1280">
        <v>10248110</v>
      </c>
      <c r="G29" s="1281"/>
      <c r="H29" s="1282"/>
      <c r="I29" s="1288">
        <v>1174580</v>
      </c>
      <c r="J29" s="1288"/>
      <c r="K29" s="1288"/>
      <c r="L29" s="1288"/>
      <c r="M29" s="1284">
        <f t="shared" ref="M29:M39" si="1">F29+I29</f>
        <v>11422690</v>
      </c>
      <c r="N29" s="1285"/>
      <c r="O29" s="41"/>
      <c r="P29" s="3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5"/>
      <c r="AN29" s="45"/>
      <c r="AO29" s="45"/>
      <c r="AP29" s="46"/>
      <c r="AQ29" s="43"/>
    </row>
    <row r="30" spans="1:50" s="332" customFormat="1" ht="13.5" customHeight="1">
      <c r="A30" s="328"/>
      <c r="B30" s="1291" t="s">
        <v>367</v>
      </c>
      <c r="C30" s="1292"/>
      <c r="D30" s="1289" t="s">
        <v>367</v>
      </c>
      <c r="E30" s="1290"/>
      <c r="F30" s="1280">
        <v>4950000</v>
      </c>
      <c r="G30" s="1281"/>
      <c r="H30" s="1282"/>
      <c r="I30" s="1280">
        <v>360000</v>
      </c>
      <c r="J30" s="1281"/>
      <c r="K30" s="1281"/>
      <c r="L30" s="1282"/>
      <c r="M30" s="1284">
        <f t="shared" ref="M30" si="2">F30+I30</f>
        <v>5310000</v>
      </c>
      <c r="N30" s="1285"/>
      <c r="O30" s="125"/>
      <c r="P30" s="31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45"/>
      <c r="AN30" s="45"/>
      <c r="AO30" s="45"/>
      <c r="AP30" s="46"/>
      <c r="AQ30" s="43"/>
    </row>
    <row r="31" spans="1:50" s="95" customFormat="1" ht="15" customHeight="1">
      <c r="A31" s="93"/>
      <c r="B31" s="1380" t="s">
        <v>297</v>
      </c>
      <c r="C31" s="1381"/>
      <c r="D31" s="1275" t="s">
        <v>148</v>
      </c>
      <c r="E31" s="1276"/>
      <c r="F31" s="1280">
        <v>3750</v>
      </c>
      <c r="G31" s="1281"/>
      <c r="H31" s="1282"/>
      <c r="I31" s="1288">
        <v>500</v>
      </c>
      <c r="J31" s="1288"/>
      <c r="K31" s="1288"/>
      <c r="L31" s="1288"/>
      <c r="M31" s="1284">
        <f t="shared" si="1"/>
        <v>4250</v>
      </c>
      <c r="N31" s="1285"/>
      <c r="O31" s="47"/>
      <c r="P31" s="31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45"/>
      <c r="AN31" s="45"/>
      <c r="AO31" s="45"/>
      <c r="AP31" s="46"/>
      <c r="AQ31" s="43"/>
    </row>
    <row r="32" spans="1:50" s="95" customFormat="1" ht="18.75" customHeight="1">
      <c r="A32" s="93"/>
      <c r="B32" s="1382"/>
      <c r="C32" s="1383"/>
      <c r="D32" s="1315" t="s">
        <v>331</v>
      </c>
      <c r="E32" s="1364"/>
      <c r="F32" s="1280">
        <v>1017370</v>
      </c>
      <c r="G32" s="1281"/>
      <c r="H32" s="1282"/>
      <c r="I32" s="1288">
        <v>152770</v>
      </c>
      <c r="J32" s="1288"/>
      <c r="K32" s="1288"/>
      <c r="L32" s="1288"/>
      <c r="M32" s="1284">
        <f t="shared" si="1"/>
        <v>1170140</v>
      </c>
      <c r="N32" s="1285"/>
      <c r="O32" s="96"/>
      <c r="P32" s="31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45"/>
      <c r="AN32" s="45"/>
      <c r="AO32" s="45"/>
      <c r="AP32" s="46"/>
      <c r="AQ32" s="43"/>
    </row>
    <row r="33" spans="1:43" s="95" customFormat="1" ht="18" customHeight="1">
      <c r="A33" s="93"/>
      <c r="B33" s="1382"/>
      <c r="C33" s="1383"/>
      <c r="D33" s="1315" t="s">
        <v>396</v>
      </c>
      <c r="E33" s="1364"/>
      <c r="F33" s="1280">
        <v>49</v>
      </c>
      <c r="G33" s="1281"/>
      <c r="H33" s="1282"/>
      <c r="I33" s="1288">
        <v>0</v>
      </c>
      <c r="J33" s="1288"/>
      <c r="K33" s="1288"/>
      <c r="L33" s="1288"/>
      <c r="M33" s="1284">
        <f t="shared" si="1"/>
        <v>49</v>
      </c>
      <c r="N33" s="1285"/>
      <c r="O33" s="96"/>
      <c r="P33" s="31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45"/>
      <c r="AN33" s="45"/>
      <c r="AO33" s="45"/>
      <c r="AP33" s="46"/>
      <c r="AQ33" s="43"/>
    </row>
    <row r="34" spans="1:43" s="51" customFormat="1" ht="15" customHeight="1">
      <c r="A34" s="49"/>
      <c r="B34" s="1382"/>
      <c r="C34" s="1383"/>
      <c r="D34" s="1315" t="s">
        <v>384</v>
      </c>
      <c r="E34" s="1316"/>
      <c r="F34" s="1280">
        <v>349950</v>
      </c>
      <c r="G34" s="1281"/>
      <c r="H34" s="1282"/>
      <c r="I34" s="1288">
        <v>17650</v>
      </c>
      <c r="J34" s="1288"/>
      <c r="K34" s="1288"/>
      <c r="L34" s="1288"/>
      <c r="M34" s="1284">
        <f t="shared" si="1"/>
        <v>367600</v>
      </c>
      <c r="N34" s="1285"/>
      <c r="O34" s="47"/>
      <c r="P34" s="3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5"/>
      <c r="AN34" s="45"/>
      <c r="AO34" s="45"/>
      <c r="AP34" s="46"/>
      <c r="AQ34" s="43"/>
    </row>
    <row r="35" spans="1:43" s="95" customFormat="1" ht="15" customHeight="1">
      <c r="A35" s="93"/>
      <c r="B35" s="1382"/>
      <c r="C35" s="1383"/>
      <c r="D35" s="1275" t="s">
        <v>368</v>
      </c>
      <c r="E35" s="1276"/>
      <c r="F35" s="1293">
        <v>600000</v>
      </c>
      <c r="G35" s="1294"/>
      <c r="H35" s="1295"/>
      <c r="I35" s="1288">
        <v>0</v>
      </c>
      <c r="J35" s="1288"/>
      <c r="K35" s="1288"/>
      <c r="L35" s="1288"/>
      <c r="M35" s="1284">
        <f t="shared" si="1"/>
        <v>600000</v>
      </c>
      <c r="N35" s="1285"/>
      <c r="O35" s="47">
        <f>SUM(I31:L37)</f>
        <v>192840</v>
      </c>
      <c r="P35" s="125">
        <f>SUM(M31:N37)</f>
        <v>2975559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45"/>
      <c r="AN35" s="45"/>
      <c r="AO35" s="45"/>
      <c r="AP35" s="46"/>
      <c r="AQ35" s="43"/>
    </row>
    <row r="36" spans="1:43" s="356" customFormat="1" ht="21" customHeight="1">
      <c r="A36" s="355"/>
      <c r="B36" s="1382"/>
      <c r="C36" s="1383"/>
      <c r="D36" s="1286" t="s">
        <v>425</v>
      </c>
      <c r="E36" s="1287"/>
      <c r="F36" s="1280">
        <v>91600</v>
      </c>
      <c r="G36" s="1281"/>
      <c r="H36" s="1282"/>
      <c r="I36" s="1280">
        <v>21920</v>
      </c>
      <c r="J36" s="1281"/>
      <c r="K36" s="1281"/>
      <c r="L36" s="1282"/>
      <c r="M36" s="1284">
        <f t="shared" ref="M36" si="3">F36+I36</f>
        <v>113520</v>
      </c>
      <c r="N36" s="1285"/>
      <c r="O36" s="47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45"/>
      <c r="AN36" s="45"/>
      <c r="AO36" s="45"/>
      <c r="AP36" s="46"/>
      <c r="AQ36" s="43"/>
    </row>
    <row r="37" spans="1:43" s="499" customFormat="1" ht="16.5" customHeight="1">
      <c r="A37" s="498"/>
      <c r="B37" s="1384"/>
      <c r="C37" s="1385"/>
      <c r="D37" s="1386" t="s">
        <v>409</v>
      </c>
      <c r="E37" s="1387"/>
      <c r="F37" s="1280">
        <v>720000</v>
      </c>
      <c r="G37" s="1281"/>
      <c r="H37" s="1282"/>
      <c r="I37" s="1280">
        <v>0</v>
      </c>
      <c r="J37" s="1281"/>
      <c r="K37" s="1281"/>
      <c r="L37" s="1282"/>
      <c r="M37" s="1284">
        <f t="shared" ref="M37" si="4">F37+I37</f>
        <v>720000</v>
      </c>
      <c r="N37" s="1285"/>
      <c r="O37" s="47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45"/>
      <c r="AN37" s="45"/>
      <c r="AO37" s="45"/>
      <c r="AP37" s="46"/>
      <c r="AQ37" s="43"/>
    </row>
    <row r="38" spans="1:43" s="99" customFormat="1" ht="14.25" customHeight="1">
      <c r="A38" s="97"/>
      <c r="B38" s="1278" t="s">
        <v>152</v>
      </c>
      <c r="C38" s="1279"/>
      <c r="D38" s="1275" t="s">
        <v>149</v>
      </c>
      <c r="E38" s="1276"/>
      <c r="F38" s="1293">
        <v>5184080</v>
      </c>
      <c r="G38" s="1294"/>
      <c r="H38" s="1295"/>
      <c r="I38" s="1280">
        <v>648010</v>
      </c>
      <c r="J38" s="1281"/>
      <c r="K38" s="1281"/>
      <c r="L38" s="1282"/>
      <c r="M38" s="1284">
        <f t="shared" si="1"/>
        <v>5832090</v>
      </c>
      <c r="N38" s="1285"/>
      <c r="O38" s="47"/>
      <c r="P38" s="31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45"/>
      <c r="AN38" s="45"/>
      <c r="AO38" s="45"/>
      <c r="AP38" s="46"/>
      <c r="AQ38" s="43"/>
    </row>
    <row r="39" spans="1:43" s="51" customFormat="1" ht="14.25" customHeight="1">
      <c r="A39" s="49"/>
      <c r="B39" s="1271" t="s">
        <v>46</v>
      </c>
      <c r="C39" s="1272"/>
      <c r="D39" s="1275" t="s">
        <v>153</v>
      </c>
      <c r="E39" s="1276"/>
      <c r="F39" s="1280">
        <v>3600000</v>
      </c>
      <c r="G39" s="1281"/>
      <c r="H39" s="1282"/>
      <c r="I39" s="1280">
        <v>450000</v>
      </c>
      <c r="J39" s="1281"/>
      <c r="K39" s="1281"/>
      <c r="L39" s="1282"/>
      <c r="M39" s="1284">
        <f t="shared" si="1"/>
        <v>4050000</v>
      </c>
      <c r="N39" s="1285"/>
      <c r="O39" s="44"/>
      <c r="P39" s="36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5"/>
      <c r="AN39" s="45"/>
      <c r="AO39" s="45"/>
      <c r="AP39" s="46"/>
      <c r="AQ39" s="43"/>
    </row>
    <row r="40" spans="1:43" s="358" customFormat="1" ht="14.25" customHeight="1">
      <c r="A40" s="357"/>
      <c r="B40" s="1273"/>
      <c r="C40" s="1274"/>
      <c r="D40" s="1275" t="s">
        <v>388</v>
      </c>
      <c r="E40" s="1276"/>
      <c r="F40" s="1280">
        <v>11200000</v>
      </c>
      <c r="G40" s="1281"/>
      <c r="H40" s="1282"/>
      <c r="I40" s="1280">
        <v>0</v>
      </c>
      <c r="J40" s="1281"/>
      <c r="K40" s="1281"/>
      <c r="L40" s="1282"/>
      <c r="M40" s="1284">
        <f t="shared" ref="M40" si="5">F40+I40</f>
        <v>11200000</v>
      </c>
      <c r="N40" s="1285"/>
      <c r="O40" s="44"/>
      <c r="P40" s="36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45"/>
      <c r="AN40" s="45"/>
      <c r="AO40" s="45"/>
      <c r="AP40" s="46"/>
      <c r="AQ40" s="43"/>
    </row>
    <row r="41" spans="1:43" s="266" customFormat="1" ht="21" customHeight="1">
      <c r="A41" s="265"/>
      <c r="B41" s="1390" t="s">
        <v>739</v>
      </c>
      <c r="C41" s="1391"/>
      <c r="D41" s="1314" t="s">
        <v>117</v>
      </c>
      <c r="E41" s="1290"/>
      <c r="F41" s="1280">
        <v>25351540</v>
      </c>
      <c r="G41" s="1281"/>
      <c r="H41" s="1282"/>
      <c r="I41" s="1280">
        <v>2570220</v>
      </c>
      <c r="J41" s="1281"/>
      <c r="K41" s="1281"/>
      <c r="L41" s="1282"/>
      <c r="M41" s="1284">
        <f t="shared" ref="M41" si="6">F41+I41</f>
        <v>27921760</v>
      </c>
      <c r="N41" s="1285"/>
      <c r="O41" s="44"/>
      <c r="P41" s="32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45"/>
      <c r="AN41" s="45"/>
      <c r="AO41" s="45"/>
      <c r="AP41" s="46"/>
      <c r="AQ41" s="43"/>
    </row>
    <row r="42" spans="1:43" s="51" customFormat="1" ht="15" customHeight="1">
      <c r="A42" s="49"/>
      <c r="B42" s="1317" t="s">
        <v>12</v>
      </c>
      <c r="C42" s="1318"/>
      <c r="D42" s="1318"/>
      <c r="E42" s="1319"/>
      <c r="F42" s="1320">
        <f>SUM(F27:F41)</f>
        <v>136873615</v>
      </c>
      <c r="G42" s="1321"/>
      <c r="H42" s="1322"/>
      <c r="I42" s="1320">
        <f>SUM(I27:I41)</f>
        <v>5477130</v>
      </c>
      <c r="J42" s="1321"/>
      <c r="K42" s="1321"/>
      <c r="L42" s="1322"/>
      <c r="M42" s="1338">
        <f>SUM(M27:M41)</f>
        <v>142350745</v>
      </c>
      <c r="N42" s="1339"/>
      <c r="O42" s="44"/>
      <c r="P42" s="36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5"/>
      <c r="AN42" s="45"/>
      <c r="AO42" s="45"/>
      <c r="AP42" s="46"/>
      <c r="AQ42" s="43"/>
    </row>
    <row r="43" spans="1:43" s="51" customFormat="1" ht="18" customHeight="1">
      <c r="A43" s="9" t="s">
        <v>57</v>
      </c>
      <c r="B43" s="9"/>
      <c r="D43" s="1388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44"/>
      <c r="P43" s="36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5"/>
      <c r="AN43" s="45"/>
      <c r="AO43" s="45"/>
      <c r="AP43" s="46"/>
      <c r="AQ43" s="43"/>
    </row>
    <row r="44" spans="1:43" s="51" customFormat="1" ht="14.25" customHeight="1" thickBot="1">
      <c r="B44" s="1269" t="s">
        <v>5</v>
      </c>
      <c r="C44" s="1270"/>
      <c r="D44" s="1269" t="s">
        <v>41</v>
      </c>
      <c r="E44" s="1270"/>
      <c r="F44" s="1269" t="s">
        <v>42</v>
      </c>
      <c r="G44" s="1277"/>
      <c r="H44" s="1270"/>
      <c r="I44" s="1283" t="s">
        <v>58</v>
      </c>
      <c r="J44" s="1283"/>
      <c r="K44" s="1283"/>
      <c r="L44" s="1283"/>
      <c r="M44" s="1269" t="s">
        <v>44</v>
      </c>
      <c r="N44" s="1270"/>
      <c r="O44" s="44"/>
      <c r="P44" s="36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5"/>
      <c r="AN44" s="45"/>
      <c r="AO44" s="45"/>
      <c r="AP44" s="46"/>
      <c r="AQ44" s="43"/>
    </row>
    <row r="45" spans="1:43" s="63" customFormat="1" ht="14.25" customHeight="1" thickTop="1">
      <c r="B45" s="1303" t="s">
        <v>393</v>
      </c>
      <c r="C45" s="1304"/>
      <c r="D45" s="1305" t="s">
        <v>88</v>
      </c>
      <c r="E45" s="1306"/>
      <c r="F45" s="1307">
        <v>20020</v>
      </c>
      <c r="G45" s="1308"/>
      <c r="H45" s="1309"/>
      <c r="I45" s="1310">
        <v>3870</v>
      </c>
      <c r="J45" s="1310"/>
      <c r="K45" s="1310"/>
      <c r="L45" s="1310"/>
      <c r="M45" s="1297">
        <f>F45+I45</f>
        <v>23890</v>
      </c>
      <c r="N45" s="1298"/>
      <c r="O45" s="44"/>
      <c r="P45" s="36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45"/>
      <c r="AN45" s="45"/>
      <c r="AO45" s="45"/>
      <c r="AP45" s="46"/>
      <c r="AQ45" s="43"/>
    </row>
    <row r="46" spans="1:43" s="72" customFormat="1" ht="13.5" customHeight="1">
      <c r="B46" s="1326" t="s">
        <v>392</v>
      </c>
      <c r="C46" s="1327"/>
      <c r="D46" s="1313" t="s">
        <v>401</v>
      </c>
      <c r="E46" s="1306"/>
      <c r="F46" s="1307">
        <v>500000</v>
      </c>
      <c r="G46" s="1308"/>
      <c r="H46" s="1309"/>
      <c r="I46" s="1310">
        <v>0</v>
      </c>
      <c r="J46" s="1310"/>
      <c r="K46" s="1310"/>
      <c r="L46" s="1310"/>
      <c r="M46" s="1297">
        <f t="shared" ref="M46" si="7">F46+I46</f>
        <v>500000</v>
      </c>
      <c r="N46" s="1298"/>
      <c r="O46" s="44"/>
      <c r="P46" s="36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45"/>
      <c r="AN46" s="45"/>
      <c r="AO46" s="45"/>
      <c r="AP46" s="46"/>
      <c r="AQ46" s="43"/>
    </row>
    <row r="47" spans="1:43" s="354" customFormat="1" ht="14.25" customHeight="1">
      <c r="B47" s="1328"/>
      <c r="C47" s="1329"/>
      <c r="D47" s="1340" t="s">
        <v>533</v>
      </c>
      <c r="E47" s="1341"/>
      <c r="F47" s="1280">
        <v>400000</v>
      </c>
      <c r="G47" s="1281"/>
      <c r="H47" s="1282"/>
      <c r="I47" s="1280">
        <v>100000</v>
      </c>
      <c r="J47" s="1281"/>
      <c r="K47" s="1281"/>
      <c r="L47" s="1282"/>
      <c r="M47" s="1297">
        <f t="shared" ref="M47:M55" si="8">F47+I47</f>
        <v>500000</v>
      </c>
      <c r="N47" s="1298"/>
      <c r="O47" s="44"/>
      <c r="P47" s="36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45"/>
      <c r="AN47" s="45"/>
      <c r="AO47" s="45"/>
      <c r="AP47" s="46"/>
      <c r="AQ47" s="43"/>
    </row>
    <row r="48" spans="1:43" s="356" customFormat="1" ht="15.75" customHeight="1">
      <c r="B48" s="1303"/>
      <c r="C48" s="1304"/>
      <c r="D48" s="1340" t="s">
        <v>534</v>
      </c>
      <c r="E48" s="1341"/>
      <c r="F48" s="1280">
        <v>58800</v>
      </c>
      <c r="G48" s="1281"/>
      <c r="H48" s="1282"/>
      <c r="I48" s="1280">
        <v>30500</v>
      </c>
      <c r="J48" s="1281"/>
      <c r="K48" s="1281"/>
      <c r="L48" s="1282"/>
      <c r="M48" s="1297">
        <f t="shared" ref="M48:M49" si="9">F48+I48</f>
        <v>89300</v>
      </c>
      <c r="N48" s="1298"/>
      <c r="O48" s="44"/>
      <c r="P48" s="36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45"/>
      <c r="AN48" s="45"/>
      <c r="AO48" s="45"/>
      <c r="AP48" s="46"/>
      <c r="AQ48" s="43"/>
    </row>
    <row r="49" spans="1:43" s="583" customFormat="1" ht="15" customHeight="1">
      <c r="B49" s="1278" t="s">
        <v>532</v>
      </c>
      <c r="C49" s="1279"/>
      <c r="D49" s="1275" t="s">
        <v>150</v>
      </c>
      <c r="E49" s="1276"/>
      <c r="F49" s="1280">
        <v>4665680</v>
      </c>
      <c r="G49" s="1281"/>
      <c r="H49" s="1282"/>
      <c r="I49" s="1280">
        <v>583210</v>
      </c>
      <c r="J49" s="1281"/>
      <c r="K49" s="1281"/>
      <c r="L49" s="1282"/>
      <c r="M49" s="1297">
        <f t="shared" si="9"/>
        <v>5248890</v>
      </c>
      <c r="N49" s="1298"/>
      <c r="O49" s="44"/>
      <c r="P49" s="36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45"/>
      <c r="AN49" s="45"/>
      <c r="AO49" s="45"/>
      <c r="AP49" s="46"/>
      <c r="AQ49" s="43"/>
    </row>
    <row r="50" spans="1:43" s="63" customFormat="1" ht="14.25" customHeight="1">
      <c r="B50" s="1311" t="s">
        <v>394</v>
      </c>
      <c r="C50" s="1312"/>
      <c r="D50" s="1313" t="s">
        <v>118</v>
      </c>
      <c r="E50" s="1306"/>
      <c r="F50" s="1307">
        <v>2800000</v>
      </c>
      <c r="G50" s="1308"/>
      <c r="H50" s="1309"/>
      <c r="I50" s="1310">
        <v>300000</v>
      </c>
      <c r="J50" s="1310"/>
      <c r="K50" s="1310"/>
      <c r="L50" s="1310"/>
      <c r="M50" s="1297">
        <f t="shared" si="8"/>
        <v>3100000</v>
      </c>
      <c r="N50" s="1298"/>
      <c r="O50" s="74"/>
      <c r="P50" s="36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45"/>
      <c r="AN50" s="45"/>
      <c r="AO50" s="45"/>
      <c r="AP50" s="46"/>
      <c r="AQ50" s="43"/>
    </row>
    <row r="51" spans="1:43" s="51" customFormat="1" ht="19.5" customHeight="1">
      <c r="B51" s="1301" t="s">
        <v>395</v>
      </c>
      <c r="C51" s="1302"/>
      <c r="D51" s="1275" t="s">
        <v>118</v>
      </c>
      <c r="E51" s="1276"/>
      <c r="F51" s="1280">
        <v>3200000</v>
      </c>
      <c r="G51" s="1281"/>
      <c r="H51" s="1282"/>
      <c r="I51" s="1293">
        <v>400000</v>
      </c>
      <c r="J51" s="1294"/>
      <c r="K51" s="1294"/>
      <c r="L51" s="1295"/>
      <c r="M51" s="1299">
        <f t="shared" si="8"/>
        <v>3600000</v>
      </c>
      <c r="N51" s="1300"/>
      <c r="O51" s="74"/>
      <c r="P51" s="36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5"/>
      <c r="AN51" s="45"/>
      <c r="AO51" s="45"/>
      <c r="AP51" s="46"/>
      <c r="AQ51" s="43"/>
    </row>
    <row r="52" spans="1:43" s="51" customFormat="1" ht="14.25" customHeight="1">
      <c r="B52" s="1278" t="s">
        <v>404</v>
      </c>
      <c r="C52" s="1279"/>
      <c r="D52" s="1275" t="s">
        <v>118</v>
      </c>
      <c r="E52" s="1276"/>
      <c r="F52" s="1280">
        <v>8949500</v>
      </c>
      <c r="G52" s="1281"/>
      <c r="H52" s="1282"/>
      <c r="I52" s="1288">
        <v>1439500</v>
      </c>
      <c r="J52" s="1288"/>
      <c r="K52" s="1288"/>
      <c r="L52" s="1288"/>
      <c r="M52" s="1299">
        <f t="shared" si="8"/>
        <v>10389000</v>
      </c>
      <c r="N52" s="1300"/>
      <c r="O52" s="74"/>
      <c r="P52" s="3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5"/>
      <c r="AN52" s="45"/>
      <c r="AO52" s="45"/>
      <c r="AP52" s="46"/>
      <c r="AQ52" s="43"/>
    </row>
    <row r="53" spans="1:43" s="354" customFormat="1" ht="14.25" customHeight="1">
      <c r="B53" s="1278" t="s">
        <v>385</v>
      </c>
      <c r="C53" s="1279"/>
      <c r="D53" s="1275" t="s">
        <v>386</v>
      </c>
      <c r="E53" s="1276"/>
      <c r="F53" s="1280">
        <v>9645474</v>
      </c>
      <c r="G53" s="1281"/>
      <c r="H53" s="1282"/>
      <c r="I53" s="1280">
        <v>0</v>
      </c>
      <c r="J53" s="1281"/>
      <c r="K53" s="1281"/>
      <c r="L53" s="1282"/>
      <c r="M53" s="1299">
        <f t="shared" si="8"/>
        <v>9645474</v>
      </c>
      <c r="N53" s="1300"/>
      <c r="O53" s="74"/>
      <c r="P53" s="3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45"/>
      <c r="AN53" s="45"/>
      <c r="AO53" s="45"/>
      <c r="AP53" s="46"/>
      <c r="AQ53" s="43"/>
    </row>
    <row r="54" spans="1:43" s="360" customFormat="1" ht="14.25" customHeight="1">
      <c r="B54" s="1311" t="s">
        <v>535</v>
      </c>
      <c r="C54" s="1312"/>
      <c r="D54" s="1275" t="s">
        <v>398</v>
      </c>
      <c r="E54" s="1276"/>
      <c r="F54" s="1280">
        <v>623</v>
      </c>
      <c r="G54" s="1281"/>
      <c r="H54" s="1282"/>
      <c r="I54" s="1280">
        <v>0</v>
      </c>
      <c r="J54" s="1281"/>
      <c r="K54" s="1281"/>
      <c r="L54" s="1282"/>
      <c r="M54" s="1299">
        <f t="shared" ref="M54" si="10">F54+I54</f>
        <v>623</v>
      </c>
      <c r="N54" s="1300"/>
      <c r="O54" s="74"/>
      <c r="P54" s="36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45"/>
      <c r="AN54" s="45"/>
      <c r="AO54" s="45"/>
      <c r="AP54" s="46"/>
      <c r="AQ54" s="43"/>
    </row>
    <row r="55" spans="1:43" s="351" customFormat="1" ht="15.75" customHeight="1">
      <c r="B55" s="1311" t="s">
        <v>536</v>
      </c>
      <c r="C55" s="1312"/>
      <c r="D55" s="1275" t="s">
        <v>378</v>
      </c>
      <c r="E55" s="1276"/>
      <c r="F55" s="1280">
        <v>61270332</v>
      </c>
      <c r="G55" s="1281"/>
      <c r="H55" s="1282"/>
      <c r="I55" s="1280">
        <v>0</v>
      </c>
      <c r="J55" s="1281"/>
      <c r="K55" s="1281"/>
      <c r="L55" s="1282"/>
      <c r="M55" s="1299">
        <f t="shared" si="8"/>
        <v>61270332</v>
      </c>
      <c r="N55" s="1300"/>
      <c r="O55" s="74"/>
      <c r="P55" s="36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45"/>
      <c r="AN55" s="45"/>
      <c r="AO55" s="45"/>
      <c r="AP55" s="46"/>
      <c r="AQ55" s="43"/>
    </row>
    <row r="56" spans="1:43" s="51" customFormat="1" ht="14.25" customHeight="1">
      <c r="B56" s="1317" t="s">
        <v>12</v>
      </c>
      <c r="C56" s="1318"/>
      <c r="D56" s="1318"/>
      <c r="E56" s="1319"/>
      <c r="F56" s="1320">
        <f>SUM(F45:H55)</f>
        <v>91510429</v>
      </c>
      <c r="G56" s="1321"/>
      <c r="H56" s="1322"/>
      <c r="I56" s="1323">
        <f>SUM(I45:L55)</f>
        <v>2857080</v>
      </c>
      <c r="J56" s="1323"/>
      <c r="K56" s="1323"/>
      <c r="L56" s="1323"/>
      <c r="M56" s="1324">
        <f>SUM(M45:N55)</f>
        <v>94367509</v>
      </c>
      <c r="N56" s="1325"/>
      <c r="O56" s="89">
        <f>M42-M56</f>
        <v>47983236</v>
      </c>
      <c r="P56" s="88" t="s">
        <v>145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45"/>
      <c r="AN56" s="45"/>
      <c r="AO56" s="45"/>
      <c r="AP56" s="46"/>
      <c r="AQ56" s="43"/>
    </row>
    <row r="57" spans="1:43" ht="18" customHeight="1">
      <c r="A57" s="742"/>
      <c r="B57" s="742"/>
      <c r="M57" s="454"/>
      <c r="N57" s="454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3" ht="18" customHeight="1"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3"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3"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3"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3"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3"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3"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29:42"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29:42"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29:42"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29:42"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29:42"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29:42"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29:42"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29:42"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29:42"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29:42"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29:42"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29:42"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29:42"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29:42"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29:42"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29:42"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29:42"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29:42"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29:42"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29:42"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29:42"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29:42"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29:42"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29:42"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29:42"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29:42"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29:42"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29:42"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29:42"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29:42"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29:42"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</row>
    <row r="96" spans="29:42"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29:42"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29:42"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</sheetData>
  <mergeCells count="230">
    <mergeCell ref="B49:C49"/>
    <mergeCell ref="D49:E49"/>
    <mergeCell ref="F49:H49"/>
    <mergeCell ref="I49:L49"/>
    <mergeCell ref="M49:N49"/>
    <mergeCell ref="B31:C37"/>
    <mergeCell ref="D37:E37"/>
    <mergeCell ref="F37:H37"/>
    <mergeCell ref="I37:L37"/>
    <mergeCell ref="M37:N37"/>
    <mergeCell ref="F48:H48"/>
    <mergeCell ref="I48:L48"/>
    <mergeCell ref="M48:N48"/>
    <mergeCell ref="F41:H41"/>
    <mergeCell ref="I41:L41"/>
    <mergeCell ref="B44:C44"/>
    <mergeCell ref="D44:E44"/>
    <mergeCell ref="F44:H44"/>
    <mergeCell ref="D43:N43"/>
    <mergeCell ref="D47:E47"/>
    <mergeCell ref="F47:H47"/>
    <mergeCell ref="I47:L47"/>
    <mergeCell ref="B41:C41"/>
    <mergeCell ref="M41:N41"/>
    <mergeCell ref="M38:N38"/>
    <mergeCell ref="D33:E33"/>
    <mergeCell ref="D35:E35"/>
    <mergeCell ref="M35:N35"/>
    <mergeCell ref="F31:H31"/>
    <mergeCell ref="F40:H40"/>
    <mergeCell ref="I38:L38"/>
    <mergeCell ref="M36:N36"/>
    <mergeCell ref="I40:L40"/>
    <mergeCell ref="F35:H35"/>
    <mergeCell ref="M40:N40"/>
    <mergeCell ref="F32:H32"/>
    <mergeCell ref="I32:L32"/>
    <mergeCell ref="M32:N32"/>
    <mergeCell ref="I33:L33"/>
    <mergeCell ref="I36:L36"/>
    <mergeCell ref="F33:H33"/>
    <mergeCell ref="M39:N39"/>
    <mergeCell ref="O4:R7"/>
    <mergeCell ref="B13:C13"/>
    <mergeCell ref="D13:G13"/>
    <mergeCell ref="H13:L13"/>
    <mergeCell ref="M13:N13"/>
    <mergeCell ref="M45:N45"/>
    <mergeCell ref="H10:L10"/>
    <mergeCell ref="M10:N10"/>
    <mergeCell ref="B6:C6"/>
    <mergeCell ref="H12:L12"/>
    <mergeCell ref="M12:N12"/>
    <mergeCell ref="D27:E27"/>
    <mergeCell ref="I34:L34"/>
    <mergeCell ref="M34:N34"/>
    <mergeCell ref="D39:E39"/>
    <mergeCell ref="D6:G6"/>
    <mergeCell ref="H6:L6"/>
    <mergeCell ref="M27:N27"/>
    <mergeCell ref="M29:N29"/>
    <mergeCell ref="M6:N6"/>
    <mergeCell ref="B12:C12"/>
    <mergeCell ref="M28:N28"/>
    <mergeCell ref="M31:N31"/>
    <mergeCell ref="F30:H30"/>
    <mergeCell ref="D12:G12"/>
    <mergeCell ref="D32:E32"/>
    <mergeCell ref="B14:C14"/>
    <mergeCell ref="D14:G14"/>
    <mergeCell ref="H14:L14"/>
    <mergeCell ref="M14:N14"/>
    <mergeCell ref="B17:C17"/>
    <mergeCell ref="M17:N17"/>
    <mergeCell ref="D9:G9"/>
    <mergeCell ref="B23:G23"/>
    <mergeCell ref="H23:L23"/>
    <mergeCell ref="M23:N23"/>
    <mergeCell ref="B21:G21"/>
    <mergeCell ref="H20:L20"/>
    <mergeCell ref="H21:L21"/>
    <mergeCell ref="M21:N21"/>
    <mergeCell ref="B22:C22"/>
    <mergeCell ref="D22:G22"/>
    <mergeCell ref="B20:C20"/>
    <mergeCell ref="D20:G20"/>
    <mergeCell ref="B15:C15"/>
    <mergeCell ref="D15:G15"/>
    <mergeCell ref="H15:L15"/>
    <mergeCell ref="M15:N15"/>
    <mergeCell ref="M7:N7"/>
    <mergeCell ref="B9:C9"/>
    <mergeCell ref="B8:C8"/>
    <mergeCell ref="D8:G8"/>
    <mergeCell ref="H8:L8"/>
    <mergeCell ref="M8:N8"/>
    <mergeCell ref="H9:L9"/>
    <mergeCell ref="M9:N9"/>
    <mergeCell ref="B11:G11"/>
    <mergeCell ref="H11:L11"/>
    <mergeCell ref="B10:C10"/>
    <mergeCell ref="D10:G10"/>
    <mergeCell ref="M11:N11"/>
    <mergeCell ref="B7:C7"/>
    <mergeCell ref="D7:G7"/>
    <mergeCell ref="H7:L7"/>
    <mergeCell ref="L1:N1"/>
    <mergeCell ref="B2:C2"/>
    <mergeCell ref="D2:G2"/>
    <mergeCell ref="H2:L2"/>
    <mergeCell ref="M2:N2"/>
    <mergeCell ref="B5:C5"/>
    <mergeCell ref="D5:G5"/>
    <mergeCell ref="H5:L5"/>
    <mergeCell ref="M5:N5"/>
    <mergeCell ref="B3:C3"/>
    <mergeCell ref="D3:G3"/>
    <mergeCell ref="H3:L3"/>
    <mergeCell ref="M3:N3"/>
    <mergeCell ref="B4:C4"/>
    <mergeCell ref="D4:G4"/>
    <mergeCell ref="H4:L4"/>
    <mergeCell ref="M4:N4"/>
    <mergeCell ref="B16:C16"/>
    <mergeCell ref="D16:G16"/>
    <mergeCell ref="H16:L16"/>
    <mergeCell ref="M16:N16"/>
    <mergeCell ref="B18:C18"/>
    <mergeCell ref="B19:C19"/>
    <mergeCell ref="D19:G19"/>
    <mergeCell ref="H19:L19"/>
    <mergeCell ref="M19:N19"/>
    <mergeCell ref="D17:G17"/>
    <mergeCell ref="H17:L17"/>
    <mergeCell ref="M47:N47"/>
    <mergeCell ref="B46:C48"/>
    <mergeCell ref="M20:N20"/>
    <mergeCell ref="M22:N22"/>
    <mergeCell ref="D18:G18"/>
    <mergeCell ref="H18:L18"/>
    <mergeCell ref="M18:N18"/>
    <mergeCell ref="H22:L22"/>
    <mergeCell ref="F27:H27"/>
    <mergeCell ref="B42:E42"/>
    <mergeCell ref="F42:H42"/>
    <mergeCell ref="I42:L42"/>
    <mergeCell ref="M42:N42"/>
    <mergeCell ref="B27:C27"/>
    <mergeCell ref="D28:E28"/>
    <mergeCell ref="F28:H28"/>
    <mergeCell ref="B29:C29"/>
    <mergeCell ref="I27:L27"/>
    <mergeCell ref="D31:E31"/>
    <mergeCell ref="I31:L31"/>
    <mergeCell ref="D48:E48"/>
    <mergeCell ref="I44:L44"/>
    <mergeCell ref="I30:L30"/>
    <mergeCell ref="M30:N30"/>
    <mergeCell ref="B56:E56"/>
    <mergeCell ref="F56:H56"/>
    <mergeCell ref="I56:L56"/>
    <mergeCell ref="M56:N56"/>
    <mergeCell ref="M52:N52"/>
    <mergeCell ref="B52:C52"/>
    <mergeCell ref="D52:E52"/>
    <mergeCell ref="F52:H52"/>
    <mergeCell ref="I52:L52"/>
    <mergeCell ref="M55:N55"/>
    <mergeCell ref="M53:N53"/>
    <mergeCell ref="B55:C55"/>
    <mergeCell ref="D55:E55"/>
    <mergeCell ref="F55:H55"/>
    <mergeCell ref="I55:L55"/>
    <mergeCell ref="B53:C53"/>
    <mergeCell ref="B54:C54"/>
    <mergeCell ref="D54:E54"/>
    <mergeCell ref="F54:H54"/>
    <mergeCell ref="I54:L54"/>
    <mergeCell ref="M54:N54"/>
    <mergeCell ref="D53:E53"/>
    <mergeCell ref="F53:H53"/>
    <mergeCell ref="I53:L53"/>
    <mergeCell ref="O22:P22"/>
    <mergeCell ref="M46:N46"/>
    <mergeCell ref="M51:N51"/>
    <mergeCell ref="B51:C51"/>
    <mergeCell ref="M44:N44"/>
    <mergeCell ref="B45:C45"/>
    <mergeCell ref="D45:E45"/>
    <mergeCell ref="F45:H45"/>
    <mergeCell ref="I45:L45"/>
    <mergeCell ref="D51:E51"/>
    <mergeCell ref="F51:H51"/>
    <mergeCell ref="I51:L51"/>
    <mergeCell ref="B50:C50"/>
    <mergeCell ref="D50:E50"/>
    <mergeCell ref="F50:H50"/>
    <mergeCell ref="I50:L50"/>
    <mergeCell ref="D46:E46"/>
    <mergeCell ref="F46:H46"/>
    <mergeCell ref="I46:L46"/>
    <mergeCell ref="D41:E41"/>
    <mergeCell ref="M50:N50"/>
    <mergeCell ref="D34:E34"/>
    <mergeCell ref="B28:C28"/>
    <mergeCell ref="I28:L28"/>
    <mergeCell ref="A57:B57"/>
    <mergeCell ref="L25:N25"/>
    <mergeCell ref="B26:C26"/>
    <mergeCell ref="B39:C40"/>
    <mergeCell ref="D40:E40"/>
    <mergeCell ref="D26:E26"/>
    <mergeCell ref="F26:H26"/>
    <mergeCell ref="B38:C38"/>
    <mergeCell ref="F39:H39"/>
    <mergeCell ref="I39:L39"/>
    <mergeCell ref="I26:L26"/>
    <mergeCell ref="M26:N26"/>
    <mergeCell ref="M33:N33"/>
    <mergeCell ref="D36:E36"/>
    <mergeCell ref="D38:E38"/>
    <mergeCell ref="I35:L35"/>
    <mergeCell ref="D29:E29"/>
    <mergeCell ref="F29:H29"/>
    <mergeCell ref="I29:L29"/>
    <mergeCell ref="B30:C30"/>
    <mergeCell ref="D30:E30"/>
    <mergeCell ref="F38:H38"/>
    <mergeCell ref="F34:H34"/>
    <mergeCell ref="F36:H36"/>
  </mergeCells>
  <phoneticPr fontId="4" type="noConversion"/>
  <printOptions horizontalCentered="1"/>
  <pageMargins left="0.27559055118110237" right="0.27559055118110237" top="0.33" bottom="0.19" header="0.51181102362204722" footer="0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Z39"/>
  <sheetViews>
    <sheetView zoomScaleSheetLayoutView="100" workbookViewId="0">
      <selection activeCell="C2" sqref="C2"/>
    </sheetView>
  </sheetViews>
  <sheetFormatPr defaultColWidth="9.796875" defaultRowHeight="14.4"/>
  <cols>
    <col min="1" max="1" width="4.3984375" style="571" customWidth="1"/>
    <col min="2" max="2" width="7.796875" style="278" customWidth="1"/>
    <col min="3" max="3" width="15.69921875" style="500" bestFit="1" customWidth="1"/>
    <col min="4" max="4" width="7.59765625" style="571" bestFit="1" customWidth="1"/>
    <col min="5" max="5" width="11.19921875" style="571" customWidth="1"/>
    <col min="6" max="6" width="3.59765625" style="571" customWidth="1"/>
    <col min="7" max="7" width="7.09765625" style="571" customWidth="1"/>
    <col min="8" max="8" width="2.796875" style="571" customWidth="1"/>
    <col min="9" max="9" width="2.8984375" style="571" customWidth="1"/>
    <col min="10" max="10" width="3.796875" style="571" customWidth="1"/>
    <col min="11" max="11" width="7.3984375" style="571" customWidth="1"/>
    <col min="12" max="12" width="10.8984375" style="571" customWidth="1"/>
    <col min="13" max="16384" width="9.796875" style="571"/>
  </cols>
  <sheetData>
    <row r="1" spans="1:26" s="583" customFormat="1" ht="32.4" customHeight="1">
      <c r="A1" s="1398" t="s">
        <v>537</v>
      </c>
      <c r="B1" s="1399"/>
      <c r="C1" s="1399"/>
      <c r="D1" s="1399"/>
      <c r="E1" s="83"/>
      <c r="F1" s="83"/>
      <c r="G1" s="83"/>
      <c r="H1" s="82"/>
      <c r="I1" s="82"/>
      <c r="J1" s="82"/>
      <c r="K1" s="82"/>
      <c r="L1" s="496"/>
      <c r="V1" s="501"/>
      <c r="W1" s="501"/>
      <c r="X1" s="501"/>
      <c r="Y1" s="43"/>
      <c r="Z1" s="43"/>
    </row>
    <row r="2" spans="1:26" s="583" customFormat="1" ht="14.25" customHeight="1">
      <c r="A2" s="80"/>
      <c r="B2" s="502"/>
      <c r="C2" s="126"/>
      <c r="E2" s="44"/>
      <c r="F2" s="44"/>
      <c r="G2" s="44"/>
      <c r="H2" s="125"/>
      <c r="I2" s="125"/>
      <c r="J2" s="125"/>
      <c r="K2" s="125"/>
      <c r="L2" s="503" t="s">
        <v>750</v>
      </c>
      <c r="V2" s="501"/>
      <c r="W2" s="501"/>
      <c r="X2" s="501"/>
      <c r="Y2" s="43"/>
      <c r="Z2" s="43"/>
    </row>
    <row r="3" spans="1:26" s="81" customFormat="1" ht="24" customHeight="1">
      <c r="A3" s="1408" t="s">
        <v>538</v>
      </c>
      <c r="B3" s="1409"/>
      <c r="C3" s="1409"/>
      <c r="D3" s="1409"/>
      <c r="E3" s="1409"/>
      <c r="F3" s="1400">
        <v>94610476</v>
      </c>
      <c r="G3" s="1401"/>
      <c r="H3" s="1401"/>
      <c r="I3" s="1401"/>
      <c r="J3" s="1401"/>
      <c r="K3" s="1401"/>
      <c r="L3" s="1402"/>
      <c r="V3" s="504"/>
      <c r="W3" s="504"/>
      <c r="X3" s="504"/>
      <c r="Y3" s="505"/>
      <c r="Z3" s="505"/>
    </row>
    <row r="4" spans="1:26" s="81" customFormat="1" ht="24" customHeight="1">
      <c r="A4" s="1408" t="s">
        <v>539</v>
      </c>
      <c r="B4" s="1409"/>
      <c r="C4" s="1409"/>
      <c r="D4" s="1409"/>
      <c r="E4" s="1409"/>
      <c r="F4" s="1393">
        <f>E34</f>
        <v>2570220</v>
      </c>
      <c r="G4" s="1394"/>
      <c r="H4" s="1394"/>
      <c r="I4" s="1394"/>
      <c r="J4" s="1394"/>
      <c r="K4" s="1394"/>
      <c r="L4" s="1395"/>
      <c r="V4" s="504"/>
      <c r="W4" s="504"/>
      <c r="X4" s="504"/>
      <c r="Y4" s="505"/>
      <c r="Z4" s="505"/>
    </row>
    <row r="5" spans="1:26" s="81" customFormat="1" ht="24" customHeight="1">
      <c r="A5" s="1408" t="s">
        <v>540</v>
      </c>
      <c r="B5" s="1409"/>
      <c r="C5" s="1409"/>
      <c r="D5" s="1409"/>
      <c r="E5" s="1409"/>
      <c r="F5" s="1393">
        <f>E35</f>
        <v>257022</v>
      </c>
      <c r="G5" s="1394"/>
      <c r="H5" s="1394"/>
      <c r="I5" s="1394"/>
      <c r="J5" s="1394"/>
      <c r="K5" s="1394"/>
      <c r="L5" s="1395"/>
      <c r="V5" s="504"/>
      <c r="W5" s="504"/>
      <c r="X5" s="504"/>
      <c r="Y5" s="505"/>
      <c r="Z5" s="505"/>
    </row>
    <row r="6" spans="1:26" s="583" customFormat="1" ht="24" customHeight="1">
      <c r="A6" s="1408" t="s">
        <v>541</v>
      </c>
      <c r="B6" s="1409"/>
      <c r="C6" s="1409"/>
      <c r="D6" s="1409"/>
      <c r="E6" s="1409"/>
      <c r="F6" s="1393">
        <f>K34</f>
        <v>2139500</v>
      </c>
      <c r="G6" s="1394"/>
      <c r="H6" s="1394"/>
      <c r="I6" s="1394"/>
      <c r="J6" s="1394"/>
      <c r="K6" s="1394"/>
      <c r="L6" s="1395"/>
    </row>
    <row r="7" spans="1:26" s="583" customFormat="1" ht="24" customHeight="1" thickBot="1">
      <c r="A7" s="1408" t="s">
        <v>542</v>
      </c>
      <c r="B7" s="1409"/>
      <c r="C7" s="1409"/>
      <c r="D7" s="1409"/>
      <c r="E7" s="1409"/>
      <c r="F7" s="1400">
        <f>F3+F4+F5+-F6</f>
        <v>95298218</v>
      </c>
      <c r="G7" s="1401"/>
      <c r="H7" s="1401"/>
      <c r="I7" s="1401"/>
      <c r="J7" s="1401"/>
      <c r="K7" s="1401"/>
      <c r="L7" s="1402"/>
    </row>
    <row r="8" spans="1:26" s="583" customFormat="1" ht="18" customHeight="1" thickBot="1">
      <c r="A8" s="1414" t="s">
        <v>543</v>
      </c>
      <c r="B8" s="1415"/>
      <c r="C8" s="1415"/>
      <c r="D8" s="1415"/>
      <c r="E8" s="1415"/>
      <c r="F8" s="1416" t="s">
        <v>544</v>
      </c>
      <c r="G8" s="1415"/>
      <c r="H8" s="1415"/>
      <c r="I8" s="1415"/>
      <c r="J8" s="1415"/>
      <c r="K8" s="1415"/>
      <c r="L8" s="1417"/>
      <c r="N8" s="501"/>
      <c r="O8" s="501"/>
      <c r="P8" s="501"/>
      <c r="Q8" s="43"/>
      <c r="R8" s="43"/>
    </row>
    <row r="9" spans="1:26" s="583" customFormat="1" ht="17.25" customHeight="1" thickBot="1">
      <c r="A9" s="1403" t="s">
        <v>545</v>
      </c>
      <c r="B9" s="1404"/>
      <c r="C9" s="1404"/>
      <c r="D9" s="1405"/>
      <c r="E9" s="586" t="s">
        <v>546</v>
      </c>
      <c r="F9" s="1406" t="s">
        <v>545</v>
      </c>
      <c r="G9" s="1404"/>
      <c r="H9" s="1404"/>
      <c r="I9" s="1404"/>
      <c r="J9" s="1404"/>
      <c r="K9" s="1406" t="s">
        <v>547</v>
      </c>
      <c r="L9" s="1407"/>
      <c r="N9" s="501"/>
      <c r="O9" s="501"/>
      <c r="P9" s="501"/>
      <c r="Q9" s="43"/>
      <c r="R9" s="43"/>
    </row>
    <row r="10" spans="1:26" s="272" customFormat="1" ht="19.5" customHeight="1">
      <c r="A10" s="101" t="s">
        <v>751</v>
      </c>
      <c r="B10" s="641" t="s">
        <v>752</v>
      </c>
      <c r="C10" s="645" t="s">
        <v>753</v>
      </c>
      <c r="D10" s="699" t="s">
        <v>754</v>
      </c>
      <c r="E10" s="647">
        <v>2200220</v>
      </c>
      <c r="F10" s="1396" t="s">
        <v>770</v>
      </c>
      <c r="G10" s="1397"/>
      <c r="H10" s="1397"/>
      <c r="I10" s="1397"/>
      <c r="J10" s="1397"/>
      <c r="K10" s="1410">
        <v>300000</v>
      </c>
      <c r="L10" s="1411"/>
      <c r="N10" s="506"/>
      <c r="O10" s="506"/>
      <c r="P10" s="506"/>
      <c r="Q10" s="507"/>
      <c r="R10" s="507"/>
    </row>
    <row r="11" spans="1:26" s="583" customFormat="1" ht="19.5" customHeight="1">
      <c r="A11" s="101"/>
      <c r="B11" s="641" t="s">
        <v>755</v>
      </c>
      <c r="C11" s="646" t="s">
        <v>757</v>
      </c>
      <c r="D11" s="642"/>
      <c r="E11" s="647">
        <v>50000</v>
      </c>
      <c r="F11" s="1418" t="s">
        <v>771</v>
      </c>
      <c r="G11" s="1419"/>
      <c r="H11" s="1419"/>
      <c r="I11" s="1419"/>
      <c r="J11" s="1420"/>
      <c r="K11" s="1412">
        <v>400000</v>
      </c>
      <c r="L11" s="1413"/>
      <c r="N11" s="501"/>
      <c r="O11" s="501"/>
      <c r="P11" s="501"/>
      <c r="Q11" s="43"/>
      <c r="R11" s="43"/>
    </row>
    <row r="12" spans="1:26" s="583" customFormat="1" ht="19.5" customHeight="1">
      <c r="A12" s="101"/>
      <c r="B12" s="641" t="s">
        <v>756</v>
      </c>
      <c r="C12" s="646" t="s">
        <v>758</v>
      </c>
      <c r="D12" s="699" t="s">
        <v>766</v>
      </c>
      <c r="E12" s="647">
        <v>30000</v>
      </c>
      <c r="F12" s="1396" t="s">
        <v>772</v>
      </c>
      <c r="G12" s="1397"/>
      <c r="H12" s="1397"/>
      <c r="I12" s="1397"/>
      <c r="J12" s="1397"/>
      <c r="K12" s="1412">
        <v>800000</v>
      </c>
      <c r="L12" s="1413"/>
      <c r="N12" s="501"/>
      <c r="O12" s="501"/>
      <c r="P12" s="501"/>
      <c r="Q12" s="43"/>
      <c r="R12" s="43"/>
    </row>
    <row r="13" spans="1:26" s="583" customFormat="1" ht="19.5" customHeight="1">
      <c r="A13" s="101"/>
      <c r="B13" s="641">
        <v>20</v>
      </c>
      <c r="C13" s="646" t="s">
        <v>759</v>
      </c>
      <c r="D13" s="699"/>
      <c r="E13" s="647">
        <v>50000</v>
      </c>
      <c r="F13" s="1396" t="s">
        <v>773</v>
      </c>
      <c r="G13" s="1397"/>
      <c r="H13" s="1397"/>
      <c r="I13" s="1397"/>
      <c r="J13" s="1397"/>
      <c r="K13" s="1410">
        <v>639500</v>
      </c>
      <c r="L13" s="1411"/>
      <c r="N13" s="501"/>
      <c r="O13" s="501"/>
      <c r="P13" s="501"/>
      <c r="Q13" s="43"/>
      <c r="R13" s="43"/>
    </row>
    <row r="14" spans="1:26" s="583" customFormat="1" ht="19.5" customHeight="1">
      <c r="A14" s="101"/>
      <c r="B14" s="641">
        <v>20</v>
      </c>
      <c r="C14" s="643" t="s">
        <v>760</v>
      </c>
      <c r="D14" s="699"/>
      <c r="E14" s="647">
        <v>50000</v>
      </c>
      <c r="F14" s="1396"/>
      <c r="G14" s="1397"/>
      <c r="H14" s="1397"/>
      <c r="I14" s="1397"/>
      <c r="J14" s="1421"/>
      <c r="K14" s="1410"/>
      <c r="L14" s="1411"/>
      <c r="N14" s="501"/>
      <c r="O14" s="501"/>
      <c r="P14" s="501"/>
      <c r="Q14" s="43"/>
      <c r="R14" s="43"/>
    </row>
    <row r="15" spans="1:26" s="583" customFormat="1" ht="19.5" customHeight="1">
      <c r="A15" s="101"/>
      <c r="B15" s="641">
        <v>27</v>
      </c>
      <c r="C15" s="646" t="s">
        <v>761</v>
      </c>
      <c r="D15" s="642"/>
      <c r="E15" s="647">
        <v>50000</v>
      </c>
      <c r="F15" s="584"/>
      <c r="G15" s="301"/>
      <c r="H15" s="585"/>
      <c r="I15" s="585"/>
      <c r="J15" s="585"/>
      <c r="K15" s="587"/>
      <c r="L15" s="588"/>
      <c r="N15" s="501"/>
      <c r="O15" s="501"/>
      <c r="P15" s="501"/>
      <c r="Q15" s="43"/>
      <c r="R15" s="43"/>
    </row>
    <row r="16" spans="1:26" s="583" customFormat="1" ht="19.5" customHeight="1">
      <c r="A16" s="101"/>
      <c r="B16" s="641">
        <v>27</v>
      </c>
      <c r="C16" s="646" t="s">
        <v>762</v>
      </c>
      <c r="D16" s="642"/>
      <c r="E16" s="647">
        <v>50000</v>
      </c>
      <c r="F16" s="584"/>
      <c r="G16" s="301"/>
      <c r="H16" s="585"/>
      <c r="I16" s="585"/>
      <c r="J16" s="585"/>
      <c r="K16" s="587"/>
      <c r="L16" s="588"/>
      <c r="N16" s="501"/>
      <c r="O16" s="501"/>
      <c r="P16" s="501"/>
      <c r="Q16" s="43"/>
      <c r="R16" s="43"/>
    </row>
    <row r="17" spans="1:18" s="583" customFormat="1" ht="19.5" customHeight="1">
      <c r="A17" s="101"/>
      <c r="B17" s="641">
        <v>27</v>
      </c>
      <c r="C17" s="646" t="s">
        <v>763</v>
      </c>
      <c r="D17" s="642" t="s">
        <v>767</v>
      </c>
      <c r="E17" s="647">
        <v>30000</v>
      </c>
      <c r="F17" s="584"/>
      <c r="G17" s="301"/>
      <c r="H17" s="585"/>
      <c r="I17" s="585"/>
      <c r="J17" s="585"/>
      <c r="K17" s="587"/>
      <c r="L17" s="588"/>
      <c r="N17" s="501"/>
      <c r="O17" s="501"/>
      <c r="P17" s="501"/>
      <c r="Q17" s="43"/>
      <c r="R17" s="43"/>
    </row>
    <row r="18" spans="1:18" s="583" customFormat="1" ht="19.5" customHeight="1">
      <c r="A18" s="101"/>
      <c r="B18" s="641">
        <v>27</v>
      </c>
      <c r="C18" s="646" t="s">
        <v>764</v>
      </c>
      <c r="D18" s="700" t="s">
        <v>768</v>
      </c>
      <c r="E18" s="647">
        <v>30000</v>
      </c>
      <c r="F18" s="584"/>
      <c r="G18" s="301"/>
      <c r="H18" s="585"/>
      <c r="I18" s="585"/>
      <c r="J18" s="585"/>
      <c r="K18" s="587"/>
      <c r="L18" s="588"/>
      <c r="N18" s="501"/>
      <c r="O18" s="501"/>
      <c r="P18" s="501"/>
      <c r="Q18" s="43"/>
      <c r="R18" s="43"/>
    </row>
    <row r="19" spans="1:18" s="583" customFormat="1" ht="19.5" customHeight="1">
      <c r="A19" s="101"/>
      <c r="B19" s="641">
        <v>27</v>
      </c>
      <c r="C19" s="646" t="s">
        <v>765</v>
      </c>
      <c r="D19" s="642" t="s">
        <v>769</v>
      </c>
      <c r="E19" s="647">
        <v>30000</v>
      </c>
      <c r="F19" s="584"/>
      <c r="G19" s="301"/>
      <c r="H19" s="585"/>
      <c r="I19" s="585"/>
      <c r="J19" s="585"/>
      <c r="K19" s="587"/>
      <c r="L19" s="588"/>
      <c r="N19" s="501"/>
      <c r="O19" s="501"/>
      <c r="P19" s="501"/>
      <c r="Q19" s="43"/>
      <c r="R19" s="43"/>
    </row>
    <row r="20" spans="1:18" s="583" customFormat="1" ht="19.5" customHeight="1">
      <c r="A20" s="101"/>
      <c r="B20" s="641"/>
      <c r="C20" s="646"/>
      <c r="D20" s="700"/>
      <c r="E20" s="647"/>
      <c r="F20" s="584"/>
      <c r="G20" s="301"/>
      <c r="H20" s="585"/>
      <c r="I20" s="585"/>
      <c r="J20" s="585"/>
      <c r="K20" s="587"/>
      <c r="L20" s="588"/>
      <c r="N20" s="501"/>
      <c r="O20" s="501"/>
      <c r="P20" s="501"/>
      <c r="Q20" s="43"/>
      <c r="R20" s="43"/>
    </row>
    <row r="21" spans="1:18" s="583" customFormat="1" ht="19.5" customHeight="1">
      <c r="A21" s="101"/>
      <c r="B21" s="641"/>
      <c r="C21" s="646"/>
      <c r="D21" s="700"/>
      <c r="E21" s="647"/>
      <c r="F21" s="584"/>
      <c r="G21" s="301"/>
      <c r="H21" s="585"/>
      <c r="I21" s="585"/>
      <c r="J21" s="585"/>
      <c r="K21" s="587"/>
      <c r="L21" s="588"/>
      <c r="N21" s="501"/>
      <c r="O21" s="501"/>
      <c r="P21" s="501"/>
      <c r="Q21" s="43"/>
      <c r="R21" s="43"/>
    </row>
    <row r="22" spans="1:18" s="583" customFormat="1" ht="19.5" customHeight="1">
      <c r="A22" s="101"/>
      <c r="B22" s="641"/>
      <c r="C22" s="646"/>
      <c r="D22" s="700"/>
      <c r="E22" s="647"/>
      <c r="F22" s="584"/>
      <c r="G22" s="301"/>
      <c r="H22" s="585"/>
      <c r="I22" s="585"/>
      <c r="J22" s="585"/>
      <c r="K22" s="587"/>
      <c r="L22" s="588"/>
      <c r="N22" s="501"/>
      <c r="O22" s="501"/>
      <c r="P22" s="501"/>
      <c r="Q22" s="43"/>
      <c r="R22" s="43"/>
    </row>
    <row r="23" spans="1:18" s="583" customFormat="1" ht="19.5" customHeight="1">
      <c r="A23" s="101"/>
      <c r="B23" s="641"/>
      <c r="C23" s="646"/>
      <c r="D23" s="642"/>
      <c r="E23" s="647"/>
      <c r="F23" s="584"/>
      <c r="G23" s="301"/>
      <c r="H23" s="585"/>
      <c r="I23" s="585"/>
      <c r="J23" s="585"/>
      <c r="K23" s="587"/>
      <c r="L23" s="588"/>
      <c r="N23" s="501"/>
      <c r="O23" s="501"/>
      <c r="P23" s="501"/>
      <c r="Q23" s="43"/>
      <c r="R23" s="43"/>
    </row>
    <row r="24" spans="1:18" s="583" customFormat="1" ht="19.5" customHeight="1">
      <c r="A24" s="101"/>
      <c r="B24" s="641"/>
      <c r="C24" s="646"/>
      <c r="D24" s="642"/>
      <c r="E24" s="647"/>
      <c r="F24" s="1396"/>
      <c r="G24" s="1397"/>
      <c r="H24" s="1397"/>
      <c r="I24" s="1397"/>
      <c r="J24" s="1397"/>
      <c r="K24" s="1410"/>
      <c r="L24" s="1411"/>
      <c r="N24" s="501"/>
      <c r="O24" s="501"/>
      <c r="P24" s="501"/>
      <c r="Q24" s="43"/>
      <c r="R24" s="43"/>
    </row>
    <row r="25" spans="1:18" s="583" customFormat="1" ht="19.5" customHeight="1">
      <c r="A25" s="101"/>
      <c r="B25" s="641"/>
      <c r="C25" s="646"/>
      <c r="D25" s="642"/>
      <c r="E25" s="647"/>
      <c r="F25" s="1396"/>
      <c r="G25" s="1397"/>
      <c r="H25" s="1397"/>
      <c r="I25" s="1397"/>
      <c r="J25" s="1421"/>
      <c r="K25" s="1410"/>
      <c r="L25" s="1411"/>
      <c r="N25" s="501"/>
      <c r="O25" s="501"/>
      <c r="P25" s="501"/>
      <c r="Q25" s="43"/>
      <c r="R25" s="43"/>
    </row>
    <row r="26" spans="1:18" s="583" customFormat="1" ht="19.5" customHeight="1">
      <c r="A26" s="101"/>
      <c r="B26" s="641"/>
      <c r="C26" s="646"/>
      <c r="D26" s="700"/>
      <c r="E26" s="647"/>
      <c r="F26" s="584"/>
      <c r="G26" s="301"/>
      <c r="H26" s="585"/>
      <c r="I26" s="585"/>
      <c r="J26" s="585"/>
      <c r="K26" s="587"/>
      <c r="L26" s="588"/>
      <c r="N26" s="501"/>
      <c r="O26" s="501"/>
      <c r="P26" s="501"/>
      <c r="Q26" s="43"/>
      <c r="R26" s="43"/>
    </row>
    <row r="27" spans="1:18" s="583" customFormat="1" ht="19.5" customHeight="1">
      <c r="A27" s="101"/>
      <c r="B27" s="641"/>
      <c r="C27" s="646"/>
      <c r="D27" s="700"/>
      <c r="E27" s="647"/>
      <c r="F27" s="584"/>
      <c r="G27" s="301"/>
      <c r="H27" s="585"/>
      <c r="I27" s="585"/>
      <c r="J27" s="585"/>
      <c r="K27" s="587"/>
      <c r="L27" s="588"/>
      <c r="N27" s="501"/>
      <c r="O27" s="501"/>
      <c r="P27" s="501"/>
      <c r="Q27" s="43"/>
      <c r="R27" s="43"/>
    </row>
    <row r="28" spans="1:18" s="583" customFormat="1" ht="19.5" customHeight="1">
      <c r="A28" s="101"/>
      <c r="B28" s="641"/>
      <c r="C28" s="646"/>
      <c r="D28" s="700"/>
      <c r="E28" s="647"/>
      <c r="F28" s="584"/>
      <c r="G28" s="301"/>
      <c r="H28" s="585"/>
      <c r="I28" s="585"/>
      <c r="J28" s="585"/>
      <c r="K28" s="587"/>
      <c r="L28" s="588"/>
      <c r="N28" s="501"/>
      <c r="O28" s="501"/>
      <c r="P28" s="501"/>
      <c r="Q28" s="43"/>
      <c r="R28" s="43"/>
    </row>
    <row r="29" spans="1:18" s="583" customFormat="1" ht="19.5" customHeight="1">
      <c r="A29" s="101"/>
      <c r="B29" s="641"/>
      <c r="C29" s="646"/>
      <c r="D29" s="700"/>
      <c r="E29" s="647"/>
      <c r="F29" s="584"/>
      <c r="G29" s="301"/>
      <c r="H29" s="585"/>
      <c r="I29" s="585"/>
      <c r="J29" s="585"/>
      <c r="K29" s="587"/>
      <c r="L29" s="588"/>
      <c r="N29" s="501"/>
      <c r="O29" s="501"/>
      <c r="P29" s="501"/>
      <c r="Q29" s="43"/>
      <c r="R29" s="43"/>
    </row>
    <row r="30" spans="1:18" s="583" customFormat="1" ht="19.5" customHeight="1">
      <c r="A30" s="101"/>
      <c r="B30" s="641"/>
      <c r="C30" s="646"/>
      <c r="D30" s="642"/>
      <c r="E30" s="647"/>
      <c r="F30" s="584"/>
      <c r="G30" s="301"/>
      <c r="H30" s="585"/>
      <c r="I30" s="585"/>
      <c r="J30" s="585"/>
      <c r="K30" s="587"/>
      <c r="L30" s="588"/>
      <c r="N30" s="501"/>
      <c r="O30" s="501"/>
      <c r="P30" s="501"/>
      <c r="Q30" s="43"/>
      <c r="R30" s="43"/>
    </row>
    <row r="31" spans="1:18" s="583" customFormat="1" ht="19.5" customHeight="1">
      <c r="A31" s="101"/>
      <c r="B31" s="641"/>
      <c r="C31" s="646"/>
      <c r="D31" s="699"/>
      <c r="E31" s="647"/>
      <c r="F31" s="584"/>
      <c r="G31" s="301"/>
      <c r="H31" s="585"/>
      <c r="I31" s="585"/>
      <c r="J31" s="585"/>
      <c r="K31" s="587"/>
      <c r="L31" s="588"/>
      <c r="N31" s="501"/>
      <c r="O31" s="501"/>
      <c r="P31" s="501"/>
      <c r="Q31" s="43"/>
      <c r="R31" s="43"/>
    </row>
    <row r="32" spans="1:18" s="583" customFormat="1" ht="19.5" customHeight="1">
      <c r="A32" s="101"/>
      <c r="B32" s="641"/>
      <c r="C32" s="646"/>
      <c r="D32" s="699"/>
      <c r="E32" s="647"/>
      <c r="F32" s="584"/>
      <c r="G32" s="301"/>
      <c r="H32" s="585"/>
      <c r="I32" s="585"/>
      <c r="J32" s="585"/>
      <c r="K32" s="587"/>
      <c r="L32" s="588"/>
      <c r="N32" s="501"/>
      <c r="O32" s="501"/>
      <c r="P32" s="501"/>
      <c r="Q32" s="43"/>
      <c r="R32" s="43"/>
    </row>
    <row r="33" spans="1:18" s="583" customFormat="1" ht="19.5" customHeight="1">
      <c r="A33" s="101"/>
      <c r="B33" s="644"/>
      <c r="C33" s="646"/>
      <c r="D33" s="699"/>
      <c r="E33" s="647"/>
      <c r="F33" s="584"/>
      <c r="G33" s="301"/>
      <c r="H33" s="585"/>
      <c r="I33" s="585"/>
      <c r="J33" s="585"/>
      <c r="K33" s="587"/>
      <c r="L33" s="588"/>
      <c r="N33" s="501"/>
      <c r="O33" s="501"/>
      <c r="P33" s="501"/>
      <c r="Q33" s="43"/>
      <c r="R33" s="43"/>
    </row>
    <row r="34" spans="1:18" ht="20.25" customHeight="1">
      <c r="A34" s="1408" t="s">
        <v>548</v>
      </c>
      <c r="B34" s="1409"/>
      <c r="C34" s="1409"/>
      <c r="D34" s="1427"/>
      <c r="E34" s="362">
        <f>SUM(E10:E33)</f>
        <v>2570220</v>
      </c>
      <c r="F34" s="1428" t="s">
        <v>549</v>
      </c>
      <c r="G34" s="1429"/>
      <c r="H34" s="1429"/>
      <c r="I34" s="1429"/>
      <c r="J34" s="1429"/>
      <c r="K34" s="1432">
        <f>SUM(K10:L33)</f>
        <v>2139500</v>
      </c>
      <c r="L34" s="1433"/>
      <c r="M34" s="583"/>
    </row>
    <row r="35" spans="1:18" ht="22.5" customHeight="1" thickBot="1">
      <c r="A35" s="1436" t="s">
        <v>540</v>
      </c>
      <c r="B35" s="1437"/>
      <c r="C35" s="1437"/>
      <c r="D35" s="1438"/>
      <c r="E35" s="648">
        <f>E34*10%</f>
        <v>257022</v>
      </c>
      <c r="F35" s="1430"/>
      <c r="G35" s="1431"/>
      <c r="H35" s="1431"/>
      <c r="I35" s="1431"/>
      <c r="J35" s="1431"/>
      <c r="K35" s="1434"/>
      <c r="L35" s="1435"/>
      <c r="M35" s="583"/>
    </row>
    <row r="36" spans="1:18">
      <c r="A36" s="80"/>
      <c r="B36" s="1376" t="s">
        <v>550</v>
      </c>
      <c r="C36" s="1376"/>
      <c r="D36" s="1376"/>
      <c r="E36" s="125"/>
      <c r="F36" s="583"/>
      <c r="G36" s="583"/>
      <c r="H36" s="583"/>
      <c r="I36" s="583"/>
      <c r="J36" s="583"/>
      <c r="K36" s="1422">
        <v>42613</v>
      </c>
      <c r="L36" s="1423"/>
    </row>
    <row r="37" spans="1:18" ht="73.5" customHeight="1" thickBot="1">
      <c r="A37" s="1424" t="s">
        <v>551</v>
      </c>
      <c r="B37" s="1425"/>
      <c r="C37" s="1425"/>
      <c r="D37" s="1425"/>
      <c r="E37" s="1425"/>
      <c r="F37" s="1425"/>
      <c r="G37" s="1425"/>
      <c r="H37" s="1425"/>
      <c r="I37" s="1425"/>
      <c r="J37" s="1425"/>
      <c r="K37" s="1425"/>
      <c r="L37" s="1426"/>
    </row>
    <row r="38" spans="1:18">
      <c r="A38" s="1392"/>
      <c r="B38" s="742"/>
      <c r="C38" s="742"/>
      <c r="D38" s="742"/>
      <c r="E38" s="742"/>
      <c r="F38" s="742"/>
      <c r="G38" s="742"/>
      <c r="H38" s="742"/>
      <c r="I38" s="742"/>
      <c r="J38" s="742"/>
      <c r="K38" s="742"/>
      <c r="L38" s="742"/>
    </row>
    <row r="39" spans="1:18">
      <c r="A39" s="742"/>
      <c r="B39" s="742"/>
      <c r="C39" s="742"/>
      <c r="D39" s="742"/>
      <c r="E39" s="742"/>
      <c r="F39" s="742"/>
      <c r="G39" s="742"/>
      <c r="H39" s="742"/>
      <c r="I39" s="742"/>
      <c r="J39" s="742"/>
      <c r="K39" s="742"/>
      <c r="L39" s="742"/>
    </row>
  </sheetData>
  <mergeCells count="38">
    <mergeCell ref="B36:D36"/>
    <mergeCell ref="K36:L36"/>
    <mergeCell ref="A37:L37"/>
    <mergeCell ref="F24:J24"/>
    <mergeCell ref="K24:L24"/>
    <mergeCell ref="F25:J25"/>
    <mergeCell ref="K25:L25"/>
    <mergeCell ref="A34:D34"/>
    <mergeCell ref="F34:J35"/>
    <mergeCell ref="K34:L35"/>
    <mergeCell ref="A35:D35"/>
    <mergeCell ref="F11:J11"/>
    <mergeCell ref="F12:J12"/>
    <mergeCell ref="F14:J14"/>
    <mergeCell ref="K14:L14"/>
    <mergeCell ref="K13:L13"/>
    <mergeCell ref="F13:J13"/>
    <mergeCell ref="A8:E8"/>
    <mergeCell ref="F5:L5"/>
    <mergeCell ref="F6:L6"/>
    <mergeCell ref="F7:L7"/>
    <mergeCell ref="F8:L8"/>
    <mergeCell ref="A38:L39"/>
    <mergeCell ref="F4:L4"/>
    <mergeCell ref="F10:J10"/>
    <mergeCell ref="A1:D1"/>
    <mergeCell ref="F3:L3"/>
    <mergeCell ref="A9:D9"/>
    <mergeCell ref="F9:J9"/>
    <mergeCell ref="K9:L9"/>
    <mergeCell ref="A3:E3"/>
    <mergeCell ref="A4:E4"/>
    <mergeCell ref="A5:E5"/>
    <mergeCell ref="A6:E6"/>
    <mergeCell ref="A7:E7"/>
    <mergeCell ref="K10:L10"/>
    <mergeCell ref="K11:L11"/>
    <mergeCell ref="K12:L12"/>
  </mergeCells>
  <phoneticPr fontId="4" type="noConversion"/>
  <printOptions horizontalCentered="1"/>
  <pageMargins left="0.27559055118110237" right="0.27559055118110237" top="0.46" bottom="0.27559055118110237" header="0.4" footer="0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tabSelected="1" zoomScale="110" zoomScaleNormal="110" zoomScaleSheetLayoutView="100" workbookViewId="0">
      <selection activeCell="B9" sqref="B9"/>
    </sheetView>
  </sheetViews>
  <sheetFormatPr defaultColWidth="11.796875" defaultRowHeight="14.4"/>
  <cols>
    <col min="1" max="1" width="7.19921875" style="715" customWidth="1"/>
    <col min="2" max="2" width="11.5" style="715" customWidth="1"/>
    <col min="3" max="4" width="13.69921875" style="715" customWidth="1"/>
    <col min="5" max="5" width="10.8984375" style="715" customWidth="1"/>
    <col min="6" max="6" width="13.8984375" style="715" customWidth="1"/>
    <col min="7" max="8" width="11.796875" style="715"/>
    <col min="9" max="9" width="11.796875" style="716"/>
    <col min="10" max="10" width="11.796875" style="717"/>
    <col min="11" max="16384" width="11.796875" style="715"/>
  </cols>
  <sheetData>
    <row r="1" spans="1:7" ht="59.4" customHeight="1">
      <c r="A1" s="715" t="s">
        <v>782</v>
      </c>
    </row>
    <row r="2" spans="1:7" ht="59.25" customHeight="1">
      <c r="A2" s="1475" t="s">
        <v>834</v>
      </c>
      <c r="B2" s="1475"/>
      <c r="C2" s="1475"/>
      <c r="D2" s="1475"/>
      <c r="E2" s="1475"/>
      <c r="F2" s="1475"/>
      <c r="G2" s="1475"/>
    </row>
    <row r="3" spans="1:7" ht="53.4" customHeight="1">
      <c r="A3" s="1473" t="s">
        <v>835</v>
      </c>
      <c r="B3" s="1473"/>
      <c r="C3" s="1473"/>
      <c r="D3" s="1473"/>
      <c r="E3" s="1473"/>
      <c r="F3" s="1473"/>
      <c r="G3" s="1473"/>
    </row>
    <row r="4" spans="1:7" ht="28.5" customHeight="1">
      <c r="A4" s="718" t="s">
        <v>781</v>
      </c>
      <c r="B4" s="718"/>
      <c r="C4" s="719"/>
      <c r="D4" s="1474" t="s">
        <v>833</v>
      </c>
      <c r="E4" s="1474"/>
      <c r="F4" s="1474"/>
      <c r="G4" s="1474"/>
    </row>
    <row r="5" spans="1:7" ht="27.75" customHeight="1">
      <c r="A5" s="1444" t="s">
        <v>783</v>
      </c>
      <c r="B5" s="1444"/>
      <c r="C5" s="720" t="s">
        <v>784</v>
      </c>
      <c r="D5" s="720" t="s">
        <v>785</v>
      </c>
      <c r="E5" s="720" t="s">
        <v>786</v>
      </c>
      <c r="F5" s="721" t="s">
        <v>832</v>
      </c>
      <c r="G5" s="721" t="s">
        <v>787</v>
      </c>
    </row>
    <row r="6" spans="1:7" ht="24" customHeight="1">
      <c r="A6" s="1445" t="s">
        <v>788</v>
      </c>
      <c r="B6" s="722" t="s">
        <v>789</v>
      </c>
      <c r="C6" s="723">
        <f>17123890+1565290+156530</f>
        <v>18845710</v>
      </c>
      <c r="D6" s="723">
        <f>17123890+1565290+156530</f>
        <v>18845710</v>
      </c>
      <c r="E6" s="723">
        <f t="shared" ref="E6:E23" si="0">D6-C6</f>
        <v>0</v>
      </c>
      <c r="F6" s="729" t="s">
        <v>821</v>
      </c>
      <c r="G6" s="727" t="s">
        <v>822</v>
      </c>
    </row>
    <row r="7" spans="1:7" ht="24" customHeight="1">
      <c r="A7" s="1445"/>
      <c r="B7" s="724" t="s">
        <v>790</v>
      </c>
      <c r="C7" s="725">
        <f>3217910+294150+29410</f>
        <v>3541470</v>
      </c>
      <c r="D7" s="725">
        <v>3613390</v>
      </c>
      <c r="E7" s="723">
        <f t="shared" si="0"/>
        <v>71920</v>
      </c>
      <c r="F7" s="730" t="s">
        <v>823</v>
      </c>
      <c r="G7" s="728" t="s">
        <v>824</v>
      </c>
    </row>
    <row r="8" spans="1:7" ht="24" customHeight="1">
      <c r="A8" s="1446"/>
      <c r="B8" s="1476" t="s">
        <v>836</v>
      </c>
      <c r="C8" s="725">
        <v>1821130</v>
      </c>
      <c r="D8" s="725">
        <v>1821130</v>
      </c>
      <c r="E8" s="723">
        <f t="shared" si="0"/>
        <v>0</v>
      </c>
      <c r="F8" s="729" t="s">
        <v>825</v>
      </c>
      <c r="G8" s="727" t="s">
        <v>820</v>
      </c>
    </row>
    <row r="9" spans="1:7" ht="24" customHeight="1">
      <c r="A9" s="1447" t="s">
        <v>818</v>
      </c>
      <c r="B9" s="1477" t="s">
        <v>837</v>
      </c>
      <c r="C9" s="725">
        <f>1956730+178860+17890</f>
        <v>2153480</v>
      </c>
      <c r="D9" s="725">
        <v>2107500</v>
      </c>
      <c r="E9" s="723">
        <f t="shared" si="0"/>
        <v>-45980</v>
      </c>
      <c r="F9" s="729" t="s">
        <v>826</v>
      </c>
      <c r="G9" s="727" t="s">
        <v>827</v>
      </c>
    </row>
    <row r="10" spans="1:7" ht="24" customHeight="1">
      <c r="A10" s="1448"/>
      <c r="B10" s="726" t="s">
        <v>792</v>
      </c>
      <c r="C10" s="725">
        <f>881200+80550+8050</f>
        <v>969800</v>
      </c>
      <c r="D10" s="725">
        <v>872650</v>
      </c>
      <c r="E10" s="723">
        <f t="shared" si="0"/>
        <v>-97150</v>
      </c>
      <c r="F10" s="729" t="s">
        <v>828</v>
      </c>
      <c r="G10" s="727" t="s">
        <v>820</v>
      </c>
    </row>
    <row r="11" spans="1:7" ht="24" customHeight="1">
      <c r="A11" s="1448"/>
      <c r="B11" s="726" t="s">
        <v>793</v>
      </c>
      <c r="C11" s="725">
        <v>713520</v>
      </c>
      <c r="D11" s="725">
        <v>720720</v>
      </c>
      <c r="E11" s="723">
        <f t="shared" si="0"/>
        <v>7200</v>
      </c>
      <c r="F11" s="729" t="s">
        <v>829</v>
      </c>
      <c r="G11" s="727" t="s">
        <v>820</v>
      </c>
    </row>
    <row r="12" spans="1:7" ht="24" customHeight="1">
      <c r="A12" s="1449"/>
      <c r="B12" s="726" t="s">
        <v>794</v>
      </c>
      <c r="C12" s="725">
        <f>555650+50790+5080</f>
        <v>611520</v>
      </c>
      <c r="D12" s="725">
        <v>609530</v>
      </c>
      <c r="E12" s="723">
        <f t="shared" si="0"/>
        <v>-1990</v>
      </c>
      <c r="F12" s="729" t="s">
        <v>830</v>
      </c>
      <c r="G12" s="727" t="s">
        <v>831</v>
      </c>
    </row>
    <row r="13" spans="1:7" ht="21.75" customHeight="1">
      <c r="A13" s="1442" t="s">
        <v>795</v>
      </c>
      <c r="B13" s="1443"/>
      <c r="C13" s="725">
        <f>SUM(C6:C12)</f>
        <v>28656630</v>
      </c>
      <c r="D13" s="725">
        <f>SUM(D6:D12)</f>
        <v>28590630</v>
      </c>
      <c r="E13" s="723">
        <f>D13-C13</f>
        <v>-66000</v>
      </c>
      <c r="F13" s="1453"/>
      <c r="G13" s="1454"/>
    </row>
    <row r="14" spans="1:7" ht="21.75" customHeight="1">
      <c r="A14" s="1455" t="s">
        <v>796</v>
      </c>
      <c r="B14" s="1455"/>
      <c r="C14" s="725">
        <v>36000</v>
      </c>
      <c r="D14" s="725">
        <v>20000</v>
      </c>
      <c r="E14" s="725">
        <f t="shared" si="0"/>
        <v>-16000</v>
      </c>
      <c r="F14" s="1456" t="s">
        <v>819</v>
      </c>
      <c r="G14" s="1456"/>
    </row>
    <row r="15" spans="1:7" ht="21.75" customHeight="1">
      <c r="A15" s="1450" t="s">
        <v>797</v>
      </c>
      <c r="B15" s="1450"/>
      <c r="C15" s="725">
        <v>151950</v>
      </c>
      <c r="D15" s="725">
        <v>177360</v>
      </c>
      <c r="E15" s="725">
        <f t="shared" si="0"/>
        <v>25410</v>
      </c>
      <c r="F15" s="1454" t="s">
        <v>798</v>
      </c>
      <c r="G15" s="1454"/>
    </row>
    <row r="16" spans="1:7" ht="21.75" customHeight="1">
      <c r="A16" s="1450" t="s">
        <v>799</v>
      </c>
      <c r="B16" s="1450"/>
      <c r="C16" s="725">
        <v>9380</v>
      </c>
      <c r="D16" s="725">
        <v>7440</v>
      </c>
      <c r="E16" s="725">
        <f t="shared" si="0"/>
        <v>-1940</v>
      </c>
      <c r="F16" s="1454" t="s">
        <v>800</v>
      </c>
      <c r="G16" s="1454"/>
    </row>
    <row r="17" spans="1:7" ht="21.75" customHeight="1">
      <c r="A17" s="1450" t="s">
        <v>801</v>
      </c>
      <c r="B17" s="1450"/>
      <c r="C17" s="725">
        <v>489000</v>
      </c>
      <c r="D17" s="725">
        <v>571500</v>
      </c>
      <c r="E17" s="725">
        <f t="shared" si="0"/>
        <v>82500</v>
      </c>
      <c r="F17" s="1452" t="s">
        <v>802</v>
      </c>
      <c r="G17" s="1452"/>
    </row>
    <row r="18" spans="1:7" ht="21.75" customHeight="1">
      <c r="A18" s="1450" t="s">
        <v>803</v>
      </c>
      <c r="B18" s="1450"/>
      <c r="C18" s="725">
        <v>133000</v>
      </c>
      <c r="D18" s="725">
        <v>38000</v>
      </c>
      <c r="E18" s="725">
        <f t="shared" si="0"/>
        <v>-95000</v>
      </c>
      <c r="F18" s="1452" t="s">
        <v>804</v>
      </c>
      <c r="G18" s="1452"/>
    </row>
    <row r="19" spans="1:7" ht="33" customHeight="1">
      <c r="A19" s="1440" t="s">
        <v>805</v>
      </c>
      <c r="B19" s="1440"/>
      <c r="C19" s="725">
        <v>293630</v>
      </c>
      <c r="D19" s="725">
        <v>249820</v>
      </c>
      <c r="E19" s="725">
        <f t="shared" si="0"/>
        <v>-43810</v>
      </c>
      <c r="F19" s="1441" t="s">
        <v>806</v>
      </c>
      <c r="G19" s="1441"/>
    </row>
    <row r="20" spans="1:7" ht="21.75" customHeight="1">
      <c r="A20" s="1450" t="s">
        <v>807</v>
      </c>
      <c r="B20" s="1450"/>
      <c r="C20" s="725">
        <v>144590</v>
      </c>
      <c r="D20" s="725">
        <v>2960</v>
      </c>
      <c r="E20" s="725">
        <f t="shared" si="0"/>
        <v>-141630</v>
      </c>
      <c r="F20" s="1441" t="s">
        <v>808</v>
      </c>
      <c r="G20" s="1441"/>
    </row>
    <row r="21" spans="1:7" ht="21.75" customHeight="1">
      <c r="A21" s="1450" t="s">
        <v>809</v>
      </c>
      <c r="B21" s="1450"/>
      <c r="C21" s="725">
        <v>136500</v>
      </c>
      <c r="D21" s="725">
        <v>112300</v>
      </c>
      <c r="E21" s="725">
        <f t="shared" si="0"/>
        <v>-24200</v>
      </c>
      <c r="F21" s="1452" t="s">
        <v>810</v>
      </c>
      <c r="G21" s="1452"/>
    </row>
    <row r="22" spans="1:7" ht="21.75" customHeight="1">
      <c r="A22" s="1457" t="s">
        <v>811</v>
      </c>
      <c r="B22" s="1458"/>
      <c r="C22" s="725">
        <v>77330</v>
      </c>
      <c r="D22" s="725">
        <v>77340</v>
      </c>
      <c r="E22" s="725">
        <f t="shared" si="0"/>
        <v>10</v>
      </c>
      <c r="F22" s="1459" t="s">
        <v>812</v>
      </c>
      <c r="G22" s="1460"/>
    </row>
    <row r="23" spans="1:7" ht="21.75" customHeight="1">
      <c r="A23" s="1450" t="s">
        <v>813</v>
      </c>
      <c r="B23" s="1450"/>
      <c r="C23" s="725">
        <v>226690</v>
      </c>
      <c r="D23" s="725">
        <v>226690</v>
      </c>
      <c r="E23" s="725">
        <f t="shared" si="0"/>
        <v>0</v>
      </c>
      <c r="F23" s="1452" t="s">
        <v>791</v>
      </c>
      <c r="G23" s="1452"/>
    </row>
    <row r="24" spans="1:7" ht="21.75" customHeight="1">
      <c r="A24" s="1450" t="s">
        <v>814</v>
      </c>
      <c r="B24" s="1450"/>
      <c r="C24" s="725">
        <v>0</v>
      </c>
      <c r="D24" s="725">
        <v>275000</v>
      </c>
      <c r="E24" s="725">
        <f t="shared" ref="E24" si="1">D24-C24</f>
        <v>275000</v>
      </c>
      <c r="F24" s="1452" t="s">
        <v>815</v>
      </c>
      <c r="G24" s="1452"/>
    </row>
    <row r="25" spans="1:7" ht="33" customHeight="1">
      <c r="A25" s="1450" t="s">
        <v>816</v>
      </c>
      <c r="B25" s="1450"/>
      <c r="C25" s="725">
        <f>SUM(C6:C23)-C13</f>
        <v>30354700</v>
      </c>
      <c r="D25" s="725">
        <f>D13+D14+D15+D16+D17+D18+D19+D20+D21+D22+D23+D24</f>
        <v>30349040</v>
      </c>
      <c r="E25" s="725">
        <f>E13+E14+E15+E16+E17+E18+E19+E20+E21+E22+E23+E24</f>
        <v>-5660</v>
      </c>
      <c r="F25" s="1451">
        <f>D25-C25</f>
        <v>-5660</v>
      </c>
      <c r="G25" s="1451"/>
    </row>
    <row r="27" spans="1:7">
      <c r="F27" s="1439" t="s">
        <v>817</v>
      </c>
      <c r="G27" s="1439"/>
    </row>
  </sheetData>
  <mergeCells count="33">
    <mergeCell ref="D4:G4"/>
    <mergeCell ref="A24:B24"/>
    <mergeCell ref="F24:G24"/>
    <mergeCell ref="F23:G23"/>
    <mergeCell ref="F20:G20"/>
    <mergeCell ref="A18:B18"/>
    <mergeCell ref="F18:G18"/>
    <mergeCell ref="A22:B22"/>
    <mergeCell ref="F22:G22"/>
    <mergeCell ref="A14:B14"/>
    <mergeCell ref="A15:B15"/>
    <mergeCell ref="A16:B16"/>
    <mergeCell ref="A17:B17"/>
    <mergeCell ref="F17:G17"/>
    <mergeCell ref="F14:G14"/>
    <mergeCell ref="F15:G15"/>
    <mergeCell ref="F16:G16"/>
    <mergeCell ref="A2:G2"/>
    <mergeCell ref="F27:G27"/>
    <mergeCell ref="A3:G3"/>
    <mergeCell ref="A19:B19"/>
    <mergeCell ref="F19:G19"/>
    <mergeCell ref="A13:B13"/>
    <mergeCell ref="A5:B5"/>
    <mergeCell ref="A6:A8"/>
    <mergeCell ref="A9:A12"/>
    <mergeCell ref="A25:B25"/>
    <mergeCell ref="F25:G25"/>
    <mergeCell ref="A20:B20"/>
    <mergeCell ref="A21:B21"/>
    <mergeCell ref="F21:G21"/>
    <mergeCell ref="A23:B23"/>
    <mergeCell ref="F13:G13"/>
  </mergeCells>
  <phoneticPr fontId="4" type="noConversion"/>
  <printOptions horizontalCentered="1" verticalCentered="1"/>
  <pageMargins left="0.19685039370078741" right="0.19685039370078741" top="0.23622047244094491" bottom="0.23622047244094491" header="0.31496062992125984" footer="0"/>
  <pageSetup paperSize="9" scale="9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7</vt:i4>
      </vt:variant>
    </vt:vector>
  </HeadingPairs>
  <TitlesOfParts>
    <vt:vector size="17" baseType="lpstr">
      <vt:lpstr>겉표지</vt:lpstr>
      <vt:lpstr>공지사항</vt:lpstr>
      <vt:lpstr>부과내역(부과총괄표)</vt:lpstr>
      <vt:lpstr>부과내역(수도 및 전기)</vt:lpstr>
      <vt:lpstr>부과내역(승강기전기료)</vt:lpstr>
      <vt:lpstr>부과내역서 (예금현황 관리외수입지출)</vt:lpstr>
      <vt:lpstr>부과내역서(수익기금4) (2)</vt:lpstr>
      <vt:lpstr>매월소장님 보고(인쇄안함)</vt:lpstr>
      <vt:lpstr>인쇄안함-체납세대변경</vt:lpstr>
      <vt:lpstr>대표회의보고용(인쇄안함)</vt:lpstr>
      <vt:lpstr>겉표지!Print_Area</vt:lpstr>
      <vt:lpstr>'대표회의보고용(인쇄안함)'!Print_Area</vt:lpstr>
      <vt:lpstr>'부과내역(부과총괄표)'!Print_Area</vt:lpstr>
      <vt:lpstr>'부과내역(수도 및 전기)'!Print_Area</vt:lpstr>
      <vt:lpstr>'부과내역(승강기전기료)'!Print_Area</vt:lpstr>
      <vt:lpstr>'부과내역서 (예금현황 관리외수입지출)'!Print_Area</vt:lpstr>
      <vt:lpstr>'부과내역서(수익기금4) (2)'!Print_Area</vt:lpstr>
    </vt:vector>
  </TitlesOfParts>
  <Company>율산개발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Registered User</cp:lastModifiedBy>
  <cp:lastPrinted>2016-10-25T07:42:22Z</cp:lastPrinted>
  <dcterms:created xsi:type="dcterms:W3CDTF">2001-07-14T05:50:53Z</dcterms:created>
  <dcterms:modified xsi:type="dcterms:W3CDTF">2016-10-25T07:44:46Z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31361600">
    <vt:lpwstr/>
  </property>
  <property fmtid="{D5CDD505-2E9C-101B-9397-08002B2CF9AE}" pid="72" name="IVID2C5812EC">
    <vt:lpwstr/>
  </property>
  <property fmtid="{D5CDD505-2E9C-101B-9397-08002B2CF9AE}" pid="73" name="IVID282A14CE">
    <vt:lpwstr/>
  </property>
  <property fmtid="{D5CDD505-2E9C-101B-9397-08002B2CF9AE}" pid="74" name="IVID1C6310DA">
    <vt:lpwstr/>
  </property>
  <property fmtid="{D5CDD505-2E9C-101B-9397-08002B2CF9AE}" pid="75" name="IVID103510E9">
    <vt:lpwstr/>
  </property>
  <property fmtid="{D5CDD505-2E9C-101B-9397-08002B2CF9AE}" pid="76" name="IVID20B971C1">
    <vt:lpwstr/>
  </property>
  <property fmtid="{D5CDD505-2E9C-101B-9397-08002B2CF9AE}" pid="77" name="IVID361214DA">
    <vt:lpwstr/>
  </property>
  <property fmtid="{D5CDD505-2E9C-101B-9397-08002B2CF9AE}" pid="78" name="IVID2C1E12D1">
    <vt:lpwstr/>
  </property>
  <property fmtid="{D5CDD505-2E9C-101B-9397-08002B2CF9AE}" pid="79" name="IVIDD7214ED">
    <vt:lpwstr/>
  </property>
  <property fmtid="{D5CDD505-2E9C-101B-9397-08002B2CF9AE}" pid="80" name="IVID325015E9">
    <vt:lpwstr/>
  </property>
  <property fmtid="{D5CDD505-2E9C-101B-9397-08002B2CF9AE}" pid="81" name="IVID10042A38">
    <vt:lpwstr/>
  </property>
  <property fmtid="{D5CDD505-2E9C-101B-9397-08002B2CF9AE}" pid="82" name="IVID107410FA">
    <vt:lpwstr/>
  </property>
  <property fmtid="{D5CDD505-2E9C-101B-9397-08002B2CF9AE}" pid="83" name="IVID332613CE">
    <vt:lpwstr/>
  </property>
  <property fmtid="{D5CDD505-2E9C-101B-9397-08002B2CF9AE}" pid="84" name="IVID95112FF">
    <vt:lpwstr/>
  </property>
  <property fmtid="{D5CDD505-2E9C-101B-9397-08002B2CF9AE}" pid="85" name="IVID1F4C07D1">
    <vt:lpwstr/>
  </property>
  <property fmtid="{D5CDD505-2E9C-101B-9397-08002B2CF9AE}" pid="86" name="IVIDA2712E7">
    <vt:lpwstr/>
  </property>
  <property fmtid="{D5CDD505-2E9C-101B-9397-08002B2CF9AE}" pid="87" name="IVID62415D6">
    <vt:lpwstr/>
  </property>
  <property fmtid="{D5CDD505-2E9C-101B-9397-08002B2CF9AE}" pid="88" name="IVID27641707">
    <vt:lpwstr/>
  </property>
  <property fmtid="{D5CDD505-2E9C-101B-9397-08002B2CF9AE}" pid="89" name="IVID193412D2">
    <vt:lpwstr/>
  </property>
  <property fmtid="{D5CDD505-2E9C-101B-9397-08002B2CF9AE}" pid="90" name="IVID304312E4">
    <vt:lpwstr/>
  </property>
  <property fmtid="{D5CDD505-2E9C-101B-9397-08002B2CF9AE}" pid="91" name="IVID133115E8">
    <vt:lpwstr/>
  </property>
  <property fmtid="{D5CDD505-2E9C-101B-9397-08002B2CF9AE}" pid="92" name="IVID263016DE">
    <vt:lpwstr/>
  </property>
  <property fmtid="{D5CDD505-2E9C-101B-9397-08002B2CF9AE}" pid="93" name="IVID83E14EA">
    <vt:lpwstr/>
  </property>
  <property fmtid="{D5CDD505-2E9C-101B-9397-08002B2CF9AE}" pid="94" name="IVID1CF41E48">
    <vt:lpwstr/>
  </property>
  <property fmtid="{D5CDD505-2E9C-101B-9397-08002B2CF9AE}" pid="95" name="IVID33A1CE0">
    <vt:lpwstr/>
  </property>
  <property fmtid="{D5CDD505-2E9C-101B-9397-08002B2CF9AE}" pid="96" name="IVID315A18FB">
    <vt:lpwstr/>
  </property>
  <property fmtid="{D5CDD505-2E9C-101B-9397-08002B2CF9AE}" pid="97" name="IVID114213D2">
    <vt:lpwstr/>
  </property>
  <property fmtid="{D5CDD505-2E9C-101B-9397-08002B2CF9AE}" pid="98" name="IVID393619EA">
    <vt:lpwstr/>
  </property>
  <property fmtid="{D5CDD505-2E9C-101B-9397-08002B2CF9AE}" pid="99" name="IVID18E93022">
    <vt:lpwstr/>
  </property>
  <property fmtid="{D5CDD505-2E9C-101B-9397-08002B2CF9AE}" pid="100" name="IVID242E11FA">
    <vt:lpwstr/>
  </property>
  <property fmtid="{D5CDD505-2E9C-101B-9397-08002B2CF9AE}" pid="101" name="IVID1E1811D7">
    <vt:lpwstr/>
  </property>
  <property fmtid="{D5CDD505-2E9C-101B-9397-08002B2CF9AE}" pid="102" name="IVID106810EF">
    <vt:lpwstr/>
  </property>
  <property fmtid="{D5CDD505-2E9C-101B-9397-08002B2CF9AE}" pid="103" name="IVIDEF02D15">
    <vt:lpwstr/>
  </property>
  <property fmtid="{D5CDD505-2E9C-101B-9397-08002B2CF9AE}" pid="104" name="IVID360E18DC">
    <vt:lpwstr/>
  </property>
  <property fmtid="{D5CDD505-2E9C-101B-9397-08002B2CF9AE}" pid="105" name="IVID366D16D2">
    <vt:lpwstr/>
  </property>
  <property fmtid="{D5CDD505-2E9C-101B-9397-08002B2CF9AE}" pid="106" name="IVID2A4814EC">
    <vt:lpwstr/>
  </property>
  <property fmtid="{D5CDD505-2E9C-101B-9397-08002B2CF9AE}" pid="107" name="IVID384310FC">
    <vt:lpwstr/>
  </property>
  <property fmtid="{D5CDD505-2E9C-101B-9397-08002B2CF9AE}" pid="108" name="IVID2C371601">
    <vt:lpwstr/>
  </property>
  <property fmtid="{D5CDD505-2E9C-101B-9397-08002B2CF9AE}" pid="109" name="IVID351C11F7">
    <vt:lpwstr/>
  </property>
  <property fmtid="{D5CDD505-2E9C-101B-9397-08002B2CF9AE}" pid="110" name="IVID55718D1">
    <vt:lpwstr/>
  </property>
  <property fmtid="{D5CDD505-2E9C-101B-9397-08002B2CF9AE}" pid="111" name="IVID203A15F7">
    <vt:lpwstr/>
  </property>
  <property fmtid="{D5CDD505-2E9C-101B-9397-08002B2CF9AE}" pid="112" name="IVID332614FC">
    <vt:lpwstr/>
  </property>
  <property fmtid="{D5CDD505-2E9C-101B-9397-08002B2CF9AE}" pid="113" name="IVID3E3D1302">
    <vt:lpwstr/>
  </property>
  <property fmtid="{D5CDD505-2E9C-101B-9397-08002B2CF9AE}" pid="114" name="IVID36003D1F">
    <vt:lpwstr/>
  </property>
  <property fmtid="{D5CDD505-2E9C-101B-9397-08002B2CF9AE}" pid="115" name="IVIDD1512F7">
    <vt:lpwstr/>
  </property>
  <property fmtid="{D5CDD505-2E9C-101B-9397-08002B2CF9AE}" pid="116" name="IVID3F5B1BD0">
    <vt:lpwstr/>
  </property>
  <property fmtid="{D5CDD505-2E9C-101B-9397-08002B2CF9AE}" pid="117" name="IVID322215DB">
    <vt:lpwstr/>
  </property>
</Properties>
</file>